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ом 48" sheetId="1" r:id="rId1"/>
  </sheets>
  <definedNames/>
  <calcPr fullCalcOnLoad="1"/>
</workbook>
</file>

<file path=xl/sharedStrings.xml><?xml version="1.0" encoding="utf-8"?>
<sst xmlns="http://schemas.openxmlformats.org/spreadsheetml/2006/main" count="467" uniqueCount="245">
  <si>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</si>
  <si>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</si>
  <si>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</si>
  <si>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</si>
  <si>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</si>
  <si>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</si>
  <si>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</si>
  <si>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по графику</t>
  </si>
  <si>
    <t>ежедневно</t>
  </si>
  <si>
    <t xml:space="preserve">Аварийное обслуживание </t>
  </si>
  <si>
    <t>постоянно</t>
  </si>
  <si>
    <t>Дератизация</t>
  </si>
  <si>
    <t>ежемесячно</t>
  </si>
  <si>
    <t>1 раз в год</t>
  </si>
  <si>
    <t>11-010</t>
  </si>
  <si>
    <t>ПРОЕМЫ</t>
  </si>
  <si>
    <t>15-009</t>
  </si>
  <si>
    <t>Смена стекол в деревянных переплетах при площади стекла до 1,0 м2</t>
  </si>
  <si>
    <t>10 м2</t>
  </si>
  <si>
    <t>КРОВЛЯ</t>
  </si>
  <si>
    <t>54-041</t>
  </si>
  <si>
    <t>100 м2</t>
  </si>
  <si>
    <t>РАЗДЕЛ 5</t>
  </si>
  <si>
    <t>31-006</t>
  </si>
  <si>
    <t xml:space="preserve">по мере необходимости </t>
  </si>
  <si>
    <t>по мере необходимости</t>
  </si>
  <si>
    <t>1 шт</t>
  </si>
  <si>
    <t>31-047</t>
  </si>
  <si>
    <t>31-054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</si>
  <si>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</si>
  <si>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</si>
  <si>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</si>
  <si>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</si>
  <si>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</si>
  <si>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</si>
  <si>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</si>
  <si>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</si>
  <si>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</si>
  <si>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</si>
  <si>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</si>
  <si>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</si>
  <si>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</si>
  <si>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</si>
  <si>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</si>
  <si>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</si>
  <si>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</si>
  <si>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</si>
  <si>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</si>
  <si>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</si>
  <si>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</si>
  <si>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2 раза в год</t>
  </si>
  <si>
    <t>РАЗДЕЛ 7</t>
  </si>
  <si>
    <t>СОДЕРЖАНИЕ ЛЕСТНИЧНЫХ КЛЕТОК</t>
  </si>
  <si>
    <t>3 раза в неделю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</si>
  <si>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</si>
  <si>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</si>
  <si>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</si>
  <si>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</si>
  <si>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</si>
  <si>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</si>
  <si>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</si>
  <si>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</si>
  <si>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</si>
  <si>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</si>
  <si>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53-021</t>
  </si>
  <si>
    <t>РУЧНАЯ УБОРКА ТЕРРИТОРИЙ ДОМОВЛАДЕНИЙ ЗИМОЙ</t>
  </si>
  <si>
    <t>54-003</t>
  </si>
  <si>
    <t>54-013</t>
  </si>
  <si>
    <t>Е65-18-7</t>
  </si>
  <si>
    <t>по объему в дефектной ведомости</t>
  </si>
  <si>
    <t>Текущий ремонт и содержание жилого помещения</t>
  </si>
  <si>
    <t>Вывоз твердых бытовых отходов</t>
  </si>
  <si>
    <t>створка</t>
  </si>
  <si>
    <t>10 шт</t>
  </si>
  <si>
    <t>Уборка площадки перед входом в подъезд</t>
  </si>
  <si>
    <t>Уборка чердаков, подвалов, бойлерных</t>
  </si>
  <si>
    <t>Выкашивание газонов комбинированных</t>
  </si>
  <si>
    <t>Уборка с газонов травы скошенной газонокосилкой</t>
  </si>
  <si>
    <t>м3</t>
  </si>
  <si>
    <t>Очистка территории 1 класса с усовершенствованным покрытием под скребок</t>
  </si>
  <si>
    <t>ПРОЧИЕ РАБОТЫ</t>
  </si>
  <si>
    <t>Объем</t>
  </si>
  <si>
    <t>Повтор в течении отчетного периода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</si>
  <si>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</si>
  <si>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</si>
  <si>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</si>
  <si>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</si>
  <si>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</si>
  <si>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</si>
  <si>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</si>
  <si>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</si>
  <si>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</si>
  <si>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</si>
  <si>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</si>
  <si>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</si>
  <si>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</si>
  <si>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</si>
  <si>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</si>
  <si>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</si>
  <si>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</si>
  <si>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</si>
  <si>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</si>
  <si>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</si>
  <si>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</si>
  <si>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</si>
  <si>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</si>
  <si>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</si>
  <si>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</si>
  <si>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</si>
  <si>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оконных переплетов </t>
  </si>
  <si>
    <t xml:space="preserve">Заделка подвальных и чердачных окон </t>
  </si>
  <si>
    <t xml:space="preserve">Ремонт дверных полотен со сменой петель </t>
  </si>
  <si>
    <t>шт.</t>
  </si>
  <si>
    <t>ПОДЪЕЗДЫ</t>
  </si>
  <si>
    <t>Ремонт металических перил</t>
  </si>
  <si>
    <t>Ремонт и покраска входов в подъезды (тамбуры)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</si>
  <si>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</si>
  <si>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</si>
  <si>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</si>
  <si>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</si>
  <si>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</si>
  <si>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</si>
  <si>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</si>
  <si>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</si>
  <si>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</si>
  <si>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</si>
  <si>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</si>
  <si>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</si>
  <si>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</si>
  <si>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</si>
  <si>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</si>
  <si>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</si>
  <si>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</si>
  <si>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32мм</t>
  </si>
  <si>
    <t>Смена арматуры вентелей диаметров до 20мм</t>
  </si>
  <si>
    <t>Смена сгонов у трубороводов диаметром до 32 мм</t>
  </si>
  <si>
    <t>Смена сгонов у трубороводов диаметром до 20 мм</t>
  </si>
  <si>
    <t>Ревизия вентелей без снятия с места</t>
  </si>
  <si>
    <t>Установка узла учета ГВ</t>
  </si>
  <si>
    <t>Замена канализационных труб  в подвале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</si>
  <si>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</si>
  <si>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</si>
  <si>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</si>
  <si>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</si>
  <si>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</si>
  <si>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</si>
  <si>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</si>
  <si>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</si>
  <si>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</si>
  <si>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Ремонт выключателей</t>
  </si>
  <si>
    <t>Установка патронов навесных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</si>
  <si>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</si>
  <si>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</si>
  <si>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</si>
  <si>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</si>
  <si>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Смена кабеля 2-4 жильного сечением жилы до 16 мм2 (подвал)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</si>
  <si>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</si>
  <si>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</si>
  <si>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</si>
  <si>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</si>
  <si>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Сезонный осмотр элементов здания с внесением данных в паспорт готовности дома</t>
  </si>
  <si>
    <t>1 раза в год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</si>
  <si>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</si>
  <si>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</si>
  <si>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</si>
  <si>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</si>
  <si>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</si>
  <si>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</si>
  <si>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</si>
  <si>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</si>
  <si>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</si>
  <si>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</si>
  <si>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</si>
  <si>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</si>
  <si>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</si>
  <si>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</si>
  <si>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</si>
  <si>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Демонтаж, монтаж лифтового  и коммунального оборудования (после пожара)</t>
  </si>
  <si>
    <t>Ремонт приемных клапанов мусоропровода (4 под.)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</si>
  <si>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</si>
  <si>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</si>
  <si>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</si>
  <si>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</si>
  <si>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</si>
  <si>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</si>
  <si>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</si>
  <si>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</si>
  <si>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</si>
  <si>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</si>
  <si>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Замена металлических клапанов мусоропровода</t>
  </si>
  <si>
    <t>Окраска металлических деталей мусоропровода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</si>
  <si>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</si>
  <si>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</si>
  <si>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</si>
  <si>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Смена колб к светильникам</t>
  </si>
  <si>
    <t>Устройство стяжек цементных полов</t>
  </si>
  <si>
    <t xml:space="preserve">Замена задвижек до 100 мм </t>
  </si>
  <si>
    <t>Замена фланцевых соединений на стальных трубопроводах</t>
  </si>
  <si>
    <t>Сборка и установка металлической ковровыбиралки, ограждений</t>
  </si>
  <si>
    <t>Разморозка</t>
  </si>
  <si>
    <t>Разморозка ливневой канализационной сети</t>
  </si>
  <si>
    <t>Изготовление и установка металлических ящиков для складирования мусора</t>
  </si>
  <si>
    <t>Обшивка каркасных стен плитами древесностружечными</t>
  </si>
  <si>
    <t xml:space="preserve">Масляная окраска стен </t>
  </si>
  <si>
    <t>Подметание лестничных площадок и маршей  (до почтовых ящиков)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</si>
  <si>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</si>
  <si>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</si>
  <si>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t xml:space="preserve">Смена трубопроводов водоснабжения из напорных полиэтиленовых труб диаметром 40 мм 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</si>
  <si>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</si>
  <si>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</si>
  <si>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57 мм</t>
  </si>
  <si>
    <t>Врезки в действующие внутренние сети трубопроводов канализации диаметром 100 мм</t>
  </si>
  <si>
    <t>Установка деревянных поручней</t>
  </si>
  <si>
    <t>Закрытие слуховых окон</t>
  </si>
  <si>
    <t>Подчеканка канализационных патрубков</t>
  </si>
  <si>
    <t>Устройство цементной стяжки</t>
  </si>
  <si>
    <t>Маслянная окраска детских архитектурных форм</t>
  </si>
  <si>
    <t>Проверка и прочистка газодымоходов</t>
  </si>
  <si>
    <t>Ремонт штукатурки фасадов</t>
  </si>
  <si>
    <t>Сплошное выравнивание штукатурки внутри здания</t>
  </si>
  <si>
    <t>Смена обделок из листовой стали карнизов козырьков</t>
  </si>
  <si>
    <t>Огрунтовка оснований из бетона под водоизоляционный кровельный ковер козырьков</t>
  </si>
  <si>
    <t xml:space="preserve">Ремонт отдельных мест покрытия из асбоцементных листов обыкновенного профиля </t>
  </si>
  <si>
    <t>Заделка отверстий в стенах и перегородках до 0,2 м2 окна над козырьками</t>
  </si>
  <si>
    <t>отверстие</t>
  </si>
  <si>
    <t>Ремонт приборов отопления</t>
  </si>
  <si>
    <t>Сдвигание снега и скола сброшенного с крыш</t>
  </si>
  <si>
    <t>Косметический ремонт подъездов /5 под./</t>
  </si>
  <si>
    <t>Окраска известковыми составами по бетону бордюров</t>
  </si>
  <si>
    <t>Ремонт отдельными местами рулонного покрытия  кровли  наплавляемыми материалами</t>
  </si>
  <si>
    <t>Осмотр  кровли</t>
  </si>
  <si>
    <t>Техническое обслуживание  насосов</t>
  </si>
  <si>
    <t>Стоимость      (за отчетный период)</t>
  </si>
  <si>
    <t xml:space="preserve">по ул.Коммунистическая  на 2011  г. </t>
  </si>
  <si>
    <t>Перечень работ по управлению, содержанию и текущему ремонту общего имушества многоквартирного дома №48</t>
  </si>
  <si>
    <t>август</t>
  </si>
  <si>
    <t>Смена окнных,дверных приборов</t>
  </si>
  <si>
    <t>июль</t>
  </si>
  <si>
    <t>март,май</t>
  </si>
  <si>
    <t>Месяц выполнения</t>
  </si>
  <si>
    <t>Снятие показаний с общедомовых приборов учета (ХВС,ГВС)</t>
  </si>
  <si>
    <t>Обметание потолков от пыли</t>
  </si>
  <si>
    <t>Непредвиденные работы и заявочный ремонт</t>
  </si>
  <si>
    <t>Очистка площадки перед входом в мусрокамеру</t>
  </si>
  <si>
    <t>Мытье лестничных площадок и маршей (до почтовых ящиков)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</si>
</sst>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  <numFmt numFmtId="169" formatCode="#,##0.0"/>
    <numFmt numFmtId="170" formatCode="0.000000"/>
  </numFmts>
  <fonts count="5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32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vertical="center" wrapText="1" shrinkToFit="1"/>
      <protection/>
    </xf>
    <xf numFmtId="1" fontId="8" fillId="0" borderId="10" xfId="0" applyNumberFormat="1" applyFont="1" applyFill="1" applyBorder="1" applyAlignment="1" applyProtection="1">
      <alignment horizontal="left" vertical="center" wrapText="1" shrinkToFi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left" vertical="center" wrapText="1" shrinkToFi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vertical="center" wrapText="1" shrinkToFi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1" fontId="8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NumberFormat="1" applyFont="1" applyFill="1" applyBorder="1" applyAlignment="1" applyProtection="1">
      <alignment horizontal="right" vertical="center"/>
      <protection locked="0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1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1" fontId="8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 shrinkToFit="1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 wrapText="1" shrinkToFit="1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vertical="center" wrapText="1" shrinkToFit="1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 locked="0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34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 vertical="top" wrapText="1"/>
      <protection locked="0"/>
    </xf>
    <xf numFmtId="1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4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PageLayoutView="0" workbookViewId="0" topLeftCell="C1">
      <pane ySplit="3" topLeftCell="A4" activePane="bottomLeft" state="frozen"/>
      <selection pane="topLeft" activeCell="A1" sqref="A1"/>
      <selection pane="bottomLeft" activeCell="E44" sqref="E44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9.25390625" style="5" customWidth="1"/>
    <col min="9" max="9" width="10.75390625" style="6" customWidth="1"/>
    <col min="10" max="10" width="9.125" style="6" customWidth="1"/>
    <col min="11" max="11" width="13.125" style="1" customWidth="1"/>
    <col min="12" max="16384" width="9.125" style="1" customWidth="1"/>
  </cols>
  <sheetData>
    <row r="1" spans="1:11" ht="12" customHeight="1">
      <c r="A1" s="12" t="s">
        <v>0</v>
      </c>
      <c r="B1" s="12"/>
      <c r="C1" s="107" t="s">
        <v>234</v>
      </c>
      <c r="D1" s="107"/>
      <c r="E1" s="107"/>
      <c r="F1" s="107"/>
      <c r="G1" s="107"/>
      <c r="H1" s="107"/>
      <c r="I1" s="107"/>
      <c r="J1" s="107"/>
      <c r="K1" s="107"/>
    </row>
    <row r="2" spans="1:11" ht="12" customHeight="1">
      <c r="A2" s="13"/>
      <c r="B2" s="13"/>
      <c r="C2" s="106" t="s">
        <v>233</v>
      </c>
      <c r="D2" s="106"/>
      <c r="E2" s="106"/>
      <c r="F2" s="106"/>
      <c r="G2" s="106"/>
      <c r="H2" s="106"/>
      <c r="I2" s="106"/>
      <c r="J2" s="106"/>
      <c r="K2" s="106"/>
    </row>
    <row r="3" spans="1:12" s="19" customFormat="1" ht="45" customHeight="1">
      <c r="A3" s="15" t="s">
        <v>1</v>
      </c>
      <c r="B3" s="15" t="s">
        <v>2</v>
      </c>
      <c r="C3" s="16" t="s">
        <v>3</v>
      </c>
      <c r="D3" s="17" t="s">
        <v>4</v>
      </c>
      <c r="E3" s="17" t="s">
        <v>5</v>
      </c>
      <c r="F3" s="16" t="s">
        <v>6</v>
      </c>
      <c r="G3" s="18" t="s">
        <v>81</v>
      </c>
      <c r="H3" s="18" t="s">
        <v>82</v>
      </c>
      <c r="I3" s="18" t="s">
        <v>232</v>
      </c>
      <c r="J3" s="18" t="s">
        <v>83</v>
      </c>
      <c r="K3" s="18" t="s">
        <v>84</v>
      </c>
      <c r="L3" s="99" t="s">
        <v>239</v>
      </c>
    </row>
    <row r="4" spans="1:12" ht="12" customHeight="1">
      <c r="A4" s="20">
        <v>1</v>
      </c>
      <c r="B4" s="20">
        <v>2</v>
      </c>
      <c r="C4" s="21">
        <v>1</v>
      </c>
      <c r="D4" s="22">
        <v>2</v>
      </c>
      <c r="E4" s="22">
        <v>3</v>
      </c>
      <c r="F4" s="23">
        <v>4</v>
      </c>
      <c r="G4" s="24">
        <v>5</v>
      </c>
      <c r="H4" s="24">
        <v>6</v>
      </c>
      <c r="I4" s="24">
        <v>7</v>
      </c>
      <c r="J4" s="24"/>
      <c r="K4" s="92">
        <v>9</v>
      </c>
      <c r="L4" s="97"/>
    </row>
    <row r="5" spans="1:12" ht="12" customHeight="1">
      <c r="A5" s="20"/>
      <c r="B5" s="20"/>
      <c r="C5" s="108" t="s">
        <v>85</v>
      </c>
      <c r="D5" s="108"/>
      <c r="E5" s="108"/>
      <c r="F5" s="108"/>
      <c r="G5" s="108"/>
      <c r="H5" s="108"/>
      <c r="I5" s="25"/>
      <c r="J5" s="25"/>
      <c r="K5" s="93"/>
      <c r="L5" s="97"/>
    </row>
    <row r="6" spans="1:12" ht="12" customHeight="1">
      <c r="A6" s="20"/>
      <c r="B6" s="20"/>
      <c r="C6" s="21">
        <v>1</v>
      </c>
      <c r="D6" s="26" t="s">
        <v>86</v>
      </c>
      <c r="E6" s="26" t="s">
        <v>10</v>
      </c>
      <c r="F6" s="23" t="s">
        <v>87</v>
      </c>
      <c r="G6" s="24">
        <v>1</v>
      </c>
      <c r="H6" s="24">
        <v>12</v>
      </c>
      <c r="I6" s="24">
        <f>1200*G6*H6</f>
        <v>14400</v>
      </c>
      <c r="J6" s="62">
        <v>7294</v>
      </c>
      <c r="K6" s="94">
        <f>I6/12/7294</f>
        <v>0.16451878256100905</v>
      </c>
      <c r="L6" s="97"/>
    </row>
    <row r="7" spans="1:12" ht="12" customHeight="1">
      <c r="A7" s="27"/>
      <c r="B7" s="27"/>
      <c r="C7" s="21">
        <v>2</v>
      </c>
      <c r="D7" s="28" t="s">
        <v>71</v>
      </c>
      <c r="E7" s="28" t="s">
        <v>8</v>
      </c>
      <c r="F7" s="23" t="s">
        <v>54</v>
      </c>
      <c r="G7" s="24">
        <v>7294</v>
      </c>
      <c r="H7" s="24"/>
      <c r="I7" s="21">
        <f>1.5*7294*12</f>
        <v>131292</v>
      </c>
      <c r="J7" s="24">
        <v>7294</v>
      </c>
      <c r="K7" s="94">
        <f aca="true" t="shared" si="0" ref="K7:K70">I7/12/7294</f>
        <v>1.5</v>
      </c>
      <c r="L7" s="97"/>
    </row>
    <row r="8" spans="1:12" ht="12" customHeight="1">
      <c r="A8" s="27"/>
      <c r="B8" s="27"/>
      <c r="C8" s="21">
        <v>3</v>
      </c>
      <c r="D8" s="28" t="s">
        <v>9</v>
      </c>
      <c r="E8" s="28" t="s">
        <v>10</v>
      </c>
      <c r="F8" s="23" t="s">
        <v>54</v>
      </c>
      <c r="G8" s="24">
        <v>7294</v>
      </c>
      <c r="H8" s="24">
        <v>12</v>
      </c>
      <c r="I8" s="21">
        <f>G8*1.26*H8</f>
        <v>110285.28</v>
      </c>
      <c r="J8" s="24">
        <v>7294</v>
      </c>
      <c r="K8" s="94">
        <f t="shared" si="0"/>
        <v>1.26</v>
      </c>
      <c r="L8" s="97"/>
    </row>
    <row r="9" spans="1:12" ht="12" customHeight="1">
      <c r="A9" s="27"/>
      <c r="B9" s="27"/>
      <c r="C9" s="21">
        <v>4</v>
      </c>
      <c r="D9" s="29" t="s">
        <v>88</v>
      </c>
      <c r="E9" s="29" t="s">
        <v>10</v>
      </c>
      <c r="F9" s="23" t="s">
        <v>89</v>
      </c>
      <c r="G9" s="24">
        <v>144</v>
      </c>
      <c r="H9" s="24"/>
      <c r="I9" s="21">
        <f>0.86*J9*12</f>
        <v>75274.08</v>
      </c>
      <c r="J9" s="24">
        <v>7294</v>
      </c>
      <c r="K9" s="94">
        <f t="shared" si="0"/>
        <v>0.86</v>
      </c>
      <c r="L9" s="97"/>
    </row>
    <row r="10" spans="1:12" ht="12" customHeight="1">
      <c r="A10" s="27"/>
      <c r="B10" s="27"/>
      <c r="C10" s="21">
        <v>8</v>
      </c>
      <c r="D10" s="28" t="s">
        <v>90</v>
      </c>
      <c r="E10" s="29" t="s">
        <v>10</v>
      </c>
      <c r="F10" s="23" t="s">
        <v>91</v>
      </c>
      <c r="G10" s="24">
        <v>4</v>
      </c>
      <c r="H10" s="24"/>
      <c r="I10" s="21">
        <f>J10*1.24*12</f>
        <v>108534.72</v>
      </c>
      <c r="J10" s="24">
        <v>7294</v>
      </c>
      <c r="K10" s="94">
        <f t="shared" si="0"/>
        <v>1.24</v>
      </c>
      <c r="L10" s="97"/>
    </row>
    <row r="11" spans="1:12" ht="12" customHeight="1">
      <c r="A11" s="27"/>
      <c r="B11" s="27"/>
      <c r="C11" s="21">
        <v>5</v>
      </c>
      <c r="D11" s="28" t="s">
        <v>11</v>
      </c>
      <c r="E11" s="28" t="s">
        <v>12</v>
      </c>
      <c r="F11" s="23" t="s">
        <v>54</v>
      </c>
      <c r="G11" s="62">
        <v>996.3</v>
      </c>
      <c r="H11" s="24">
        <v>12</v>
      </c>
      <c r="I11" s="21">
        <f>J11*H11*0.07</f>
        <v>6126.960000000001</v>
      </c>
      <c r="J11" s="24">
        <v>7294</v>
      </c>
      <c r="K11" s="94">
        <f t="shared" si="0"/>
        <v>0.07</v>
      </c>
      <c r="L11" s="97"/>
    </row>
    <row r="12" spans="1:12" ht="12" customHeight="1">
      <c r="A12" s="27"/>
      <c r="B12" s="27"/>
      <c r="C12" s="21"/>
      <c r="D12" s="28" t="s">
        <v>92</v>
      </c>
      <c r="E12" s="29" t="s">
        <v>13</v>
      </c>
      <c r="F12" s="23" t="s">
        <v>54</v>
      </c>
      <c r="G12" s="62">
        <v>996.3</v>
      </c>
      <c r="H12" s="24">
        <v>1</v>
      </c>
      <c r="I12" s="21">
        <f>J12*H12*0.02</f>
        <v>145.88</v>
      </c>
      <c r="J12" s="24">
        <v>7294</v>
      </c>
      <c r="K12" s="94">
        <f t="shared" si="0"/>
        <v>0.0016666666666666666</v>
      </c>
      <c r="L12" s="97"/>
    </row>
    <row r="13" spans="1:12" ht="12" customHeight="1">
      <c r="A13" s="27"/>
      <c r="B13" s="27"/>
      <c r="C13" s="21">
        <v>6</v>
      </c>
      <c r="D13" s="28" t="s">
        <v>93</v>
      </c>
      <c r="E13" s="29" t="s">
        <v>10</v>
      </c>
      <c r="F13" s="23" t="s">
        <v>91</v>
      </c>
      <c r="G13" s="24">
        <v>4</v>
      </c>
      <c r="H13" s="24">
        <v>12</v>
      </c>
      <c r="I13" s="21">
        <f>J13*3.03*12</f>
        <v>265209.83999999997</v>
      </c>
      <c r="J13" s="24">
        <v>7294</v>
      </c>
      <c r="K13" s="94">
        <f t="shared" si="0"/>
        <v>3.0299999999999994</v>
      </c>
      <c r="L13" s="97"/>
    </row>
    <row r="14" spans="1:12" ht="12" customHeight="1">
      <c r="A14" s="27"/>
      <c r="B14" s="27"/>
      <c r="C14" s="21">
        <v>7</v>
      </c>
      <c r="D14" s="28" t="s">
        <v>94</v>
      </c>
      <c r="E14" s="29" t="s">
        <v>13</v>
      </c>
      <c r="F14" s="23" t="s">
        <v>95</v>
      </c>
      <c r="G14" s="24">
        <v>4</v>
      </c>
      <c r="H14" s="24"/>
      <c r="I14" s="21">
        <f>G14*2400</f>
        <v>9600</v>
      </c>
      <c r="J14" s="24">
        <v>7294</v>
      </c>
      <c r="K14" s="94">
        <f t="shared" si="0"/>
        <v>0.10967918837400603</v>
      </c>
      <c r="L14" s="97"/>
    </row>
    <row r="15" spans="1:12" ht="12" customHeight="1">
      <c r="A15" s="27"/>
      <c r="B15" s="27"/>
      <c r="C15" s="21">
        <v>9</v>
      </c>
      <c r="D15" s="28" t="s">
        <v>96</v>
      </c>
      <c r="E15" s="29" t="s">
        <v>10</v>
      </c>
      <c r="F15" s="23" t="s">
        <v>54</v>
      </c>
      <c r="G15" s="24">
        <v>7294</v>
      </c>
      <c r="H15" s="24">
        <v>12</v>
      </c>
      <c r="I15" s="21">
        <f>G15*1.89*H15</f>
        <v>165427.91999999998</v>
      </c>
      <c r="J15" s="24">
        <v>7294</v>
      </c>
      <c r="K15" s="94">
        <f t="shared" si="0"/>
        <v>1.8899999999999997</v>
      </c>
      <c r="L15" s="97"/>
    </row>
    <row r="16" spans="1:12" ht="12" customHeight="1">
      <c r="A16" s="102"/>
      <c r="B16" s="102"/>
      <c r="C16" s="103" t="s">
        <v>98</v>
      </c>
      <c r="D16" s="103"/>
      <c r="E16" s="103"/>
      <c r="F16" s="103"/>
      <c r="G16" s="103"/>
      <c r="H16" s="103"/>
      <c r="I16" s="32"/>
      <c r="J16" s="32"/>
      <c r="K16" s="94">
        <f t="shared" si="0"/>
        <v>0</v>
      </c>
      <c r="L16" s="97"/>
    </row>
    <row r="17" spans="1:12" ht="12" customHeight="1">
      <c r="A17" s="27"/>
      <c r="B17" s="27"/>
      <c r="C17" s="21">
        <v>10</v>
      </c>
      <c r="D17" s="29" t="s">
        <v>99</v>
      </c>
      <c r="E17" s="29" t="s">
        <v>7</v>
      </c>
      <c r="F17" s="23" t="s">
        <v>100</v>
      </c>
      <c r="G17" s="24">
        <f>G9*2</f>
        <v>288</v>
      </c>
      <c r="H17" s="24">
        <v>1</v>
      </c>
      <c r="I17" s="21">
        <f>G17*20.41*H17</f>
        <v>5878.08</v>
      </c>
      <c r="J17" s="24">
        <v>7294</v>
      </c>
      <c r="K17" s="94">
        <f t="shared" si="0"/>
        <v>0.0671565670414039</v>
      </c>
      <c r="L17" s="97"/>
    </row>
    <row r="18" spans="1:12" ht="12" customHeight="1">
      <c r="A18" s="27"/>
      <c r="B18" s="27"/>
      <c r="C18" s="21"/>
      <c r="D18" s="29" t="s">
        <v>217</v>
      </c>
      <c r="E18" s="29" t="s">
        <v>7</v>
      </c>
      <c r="F18" s="23" t="s">
        <v>100</v>
      </c>
      <c r="G18" s="24"/>
      <c r="H18" s="24"/>
      <c r="I18" s="21">
        <f>G18*59.68*H18</f>
        <v>0</v>
      </c>
      <c r="J18" s="24">
        <v>7294</v>
      </c>
      <c r="K18" s="94">
        <f t="shared" si="0"/>
        <v>0</v>
      </c>
      <c r="L18" s="97"/>
    </row>
    <row r="19" spans="1:12" ht="12" customHeight="1">
      <c r="A19" s="33"/>
      <c r="B19" s="33"/>
      <c r="C19" s="34">
        <v>11</v>
      </c>
      <c r="D19" s="35" t="s">
        <v>19</v>
      </c>
      <c r="E19" s="36"/>
      <c r="F19" s="37"/>
      <c r="G19" s="24"/>
      <c r="H19" s="24"/>
      <c r="I19" s="38"/>
      <c r="J19" s="24"/>
      <c r="K19" s="94">
        <f t="shared" si="0"/>
        <v>0</v>
      </c>
      <c r="L19" s="97"/>
    </row>
    <row r="20" spans="1:12" ht="24" customHeight="1">
      <c r="A20" s="33">
        <v>918</v>
      </c>
      <c r="B20" s="33" t="s">
        <v>20</v>
      </c>
      <c r="C20" s="21">
        <v>12</v>
      </c>
      <c r="D20" s="36" t="s">
        <v>229</v>
      </c>
      <c r="E20" s="36" t="s">
        <v>25</v>
      </c>
      <c r="F20" s="37" t="s">
        <v>54</v>
      </c>
      <c r="G20" s="24">
        <v>12.5</v>
      </c>
      <c r="I20" s="21">
        <f>G20*1602.36</f>
        <v>20029.5</v>
      </c>
      <c r="J20" s="24">
        <v>7294</v>
      </c>
      <c r="K20" s="94">
        <f t="shared" si="0"/>
        <v>0.22883534411845352</v>
      </c>
      <c r="L20" s="24" t="s">
        <v>235</v>
      </c>
    </row>
    <row r="21" spans="1:12" ht="24" customHeight="1" hidden="1">
      <c r="A21" s="33"/>
      <c r="B21" s="33"/>
      <c r="C21" s="21"/>
      <c r="D21" s="36" t="s">
        <v>221</v>
      </c>
      <c r="E21" s="36" t="s">
        <v>25</v>
      </c>
      <c r="F21" s="37" t="s">
        <v>54</v>
      </c>
      <c r="G21" s="24"/>
      <c r="H21" s="24"/>
      <c r="I21" s="21">
        <f>G21*148.8</f>
        <v>0</v>
      </c>
      <c r="J21" s="24">
        <v>7294</v>
      </c>
      <c r="K21" s="94">
        <f t="shared" si="0"/>
        <v>0</v>
      </c>
      <c r="L21" s="97"/>
    </row>
    <row r="22" spans="1:12" ht="20.25" customHeight="1" hidden="1">
      <c r="A22" s="33"/>
      <c r="B22" s="33"/>
      <c r="C22" s="21"/>
      <c r="D22" s="36" t="s">
        <v>215</v>
      </c>
      <c r="E22" s="36" t="s">
        <v>25</v>
      </c>
      <c r="F22" s="37" t="s">
        <v>54</v>
      </c>
      <c r="G22" s="24"/>
      <c r="H22" s="24"/>
      <c r="I22" s="21">
        <f>G22*268.1</f>
        <v>0</v>
      </c>
      <c r="J22" s="24">
        <v>7294</v>
      </c>
      <c r="K22" s="94">
        <f t="shared" si="0"/>
        <v>0</v>
      </c>
      <c r="L22" s="97"/>
    </row>
    <row r="23" spans="1:12" ht="20.25" customHeight="1" hidden="1">
      <c r="A23" s="33"/>
      <c r="B23" s="33"/>
      <c r="C23" s="34">
        <v>13</v>
      </c>
      <c r="D23" s="36" t="s">
        <v>101</v>
      </c>
      <c r="E23" s="36" t="s">
        <v>25</v>
      </c>
      <c r="F23" s="37" t="s">
        <v>102</v>
      </c>
      <c r="G23" s="24"/>
      <c r="H23" s="21"/>
      <c r="I23" s="21">
        <f>G23*H23*24.88</f>
        <v>0</v>
      </c>
      <c r="J23" s="24">
        <v>7294</v>
      </c>
      <c r="K23" s="94">
        <f t="shared" si="0"/>
        <v>0</v>
      </c>
      <c r="L23" s="97"/>
    </row>
    <row r="24" spans="1:12" ht="18" customHeight="1" hidden="1">
      <c r="A24" s="30"/>
      <c r="B24" s="39"/>
      <c r="C24" s="34">
        <v>15</v>
      </c>
      <c r="D24" s="40" t="s">
        <v>103</v>
      </c>
      <c r="E24" s="36" t="s">
        <v>25</v>
      </c>
      <c r="F24" s="37" t="s">
        <v>102</v>
      </c>
      <c r="G24" s="24"/>
      <c r="H24" s="41"/>
      <c r="I24" s="42">
        <f>26.22*10*G24*H24</f>
        <v>0</v>
      </c>
      <c r="J24" s="24">
        <v>7294</v>
      </c>
      <c r="K24" s="94">
        <f t="shared" si="0"/>
        <v>0</v>
      </c>
      <c r="L24" s="97"/>
    </row>
    <row r="25" spans="1:12" ht="18" customHeight="1" hidden="1">
      <c r="A25" s="30"/>
      <c r="B25" s="39"/>
      <c r="C25" s="34"/>
      <c r="D25" s="40" t="s">
        <v>226</v>
      </c>
      <c r="E25" s="36" t="s">
        <v>25</v>
      </c>
      <c r="F25" s="37" t="s">
        <v>78</v>
      </c>
      <c r="G25" s="24"/>
      <c r="H25" s="41"/>
      <c r="I25" s="42">
        <f>48.58*G25</f>
        <v>0</v>
      </c>
      <c r="J25" s="24">
        <v>7294</v>
      </c>
      <c r="K25" s="94">
        <f t="shared" si="0"/>
        <v>0</v>
      </c>
      <c r="L25" s="97"/>
    </row>
    <row r="26" spans="1:12" ht="18" customHeight="1" hidden="1">
      <c r="A26" s="30"/>
      <c r="B26" s="39"/>
      <c r="C26" s="34"/>
      <c r="D26" s="40" t="s">
        <v>104</v>
      </c>
      <c r="E26" s="36" t="s">
        <v>25</v>
      </c>
      <c r="F26" s="37" t="s">
        <v>54</v>
      </c>
      <c r="G26" s="24"/>
      <c r="H26" s="41"/>
      <c r="I26" s="42">
        <f>G26*H26*15.94</f>
        <v>0</v>
      </c>
      <c r="J26" s="24">
        <v>7294</v>
      </c>
      <c r="K26" s="94">
        <f t="shared" si="0"/>
        <v>0</v>
      </c>
      <c r="L26" s="97"/>
    </row>
    <row r="27" spans="1:12" ht="18" customHeight="1" hidden="1">
      <c r="A27" s="30"/>
      <c r="B27" s="39"/>
      <c r="C27" s="34"/>
      <c r="D27" s="40" t="s">
        <v>220</v>
      </c>
      <c r="E27" s="36" t="s">
        <v>25</v>
      </c>
      <c r="F27" s="37" t="s">
        <v>54</v>
      </c>
      <c r="G27" s="24"/>
      <c r="H27" s="41"/>
      <c r="I27" s="42">
        <f>G27*151.9</f>
        <v>0</v>
      </c>
      <c r="J27" s="24">
        <v>7294</v>
      </c>
      <c r="K27" s="94">
        <f t="shared" si="0"/>
        <v>0</v>
      </c>
      <c r="L27" s="97"/>
    </row>
    <row r="28" spans="1:12" ht="23.25" customHeight="1" hidden="1">
      <c r="A28" s="30"/>
      <c r="B28" s="39"/>
      <c r="C28" s="34"/>
      <c r="D28" s="40" t="s">
        <v>222</v>
      </c>
      <c r="E28" s="36" t="s">
        <v>25</v>
      </c>
      <c r="F28" s="37" t="s">
        <v>54</v>
      </c>
      <c r="G28" s="24"/>
      <c r="H28" s="41"/>
      <c r="I28" s="42">
        <f>G28*301.57</f>
        <v>0</v>
      </c>
      <c r="J28" s="24">
        <v>7294</v>
      </c>
      <c r="K28" s="94">
        <f t="shared" si="0"/>
        <v>0</v>
      </c>
      <c r="L28" s="97"/>
    </row>
    <row r="29" spans="1:12" ht="12" customHeight="1" hidden="1">
      <c r="A29" s="30"/>
      <c r="B29" s="39"/>
      <c r="C29" s="31"/>
      <c r="D29" s="43" t="s">
        <v>105</v>
      </c>
      <c r="E29" s="31"/>
      <c r="F29" s="31"/>
      <c r="G29" s="24"/>
      <c r="H29" s="31"/>
      <c r="I29" s="44"/>
      <c r="J29" s="24"/>
      <c r="K29" s="94">
        <f t="shared" si="0"/>
        <v>0</v>
      </c>
      <c r="L29" s="97"/>
    </row>
    <row r="30" spans="1:12" ht="27" customHeight="1" hidden="1">
      <c r="A30" s="33">
        <v>1</v>
      </c>
      <c r="B30" s="33" t="s">
        <v>14</v>
      </c>
      <c r="C30" s="34">
        <v>17</v>
      </c>
      <c r="D30" s="36" t="s">
        <v>106</v>
      </c>
      <c r="E30" s="36" t="s">
        <v>107</v>
      </c>
      <c r="F30" s="37" t="s">
        <v>108</v>
      </c>
      <c r="G30" s="24"/>
      <c r="H30" s="24"/>
      <c r="I30" s="21">
        <f>G30*188.16</f>
        <v>0</v>
      </c>
      <c r="J30" s="24">
        <v>7294</v>
      </c>
      <c r="K30" s="94">
        <f t="shared" si="0"/>
        <v>0</v>
      </c>
      <c r="L30" s="97"/>
    </row>
    <row r="31" spans="1:12" ht="22.5" customHeight="1" hidden="1">
      <c r="A31" s="33"/>
      <c r="B31" s="33"/>
      <c r="C31" s="34"/>
      <c r="D31" s="89" t="s">
        <v>202</v>
      </c>
      <c r="E31" s="36" t="s">
        <v>107</v>
      </c>
      <c r="F31" s="37" t="s">
        <v>54</v>
      </c>
      <c r="G31" s="24"/>
      <c r="H31" s="24"/>
      <c r="I31" s="21">
        <f>G31*497.5</f>
        <v>0</v>
      </c>
      <c r="J31" s="24">
        <v>7294</v>
      </c>
      <c r="K31" s="94">
        <f t="shared" si="0"/>
        <v>0</v>
      </c>
      <c r="L31" s="97"/>
    </row>
    <row r="32" spans="1:12" ht="22.5" customHeight="1" hidden="1">
      <c r="A32" s="33"/>
      <c r="B32" s="33"/>
      <c r="C32" s="34"/>
      <c r="D32" s="89" t="s">
        <v>218</v>
      </c>
      <c r="E32" s="36" t="s">
        <v>107</v>
      </c>
      <c r="F32" s="37" t="s">
        <v>54</v>
      </c>
      <c r="G32" s="24"/>
      <c r="H32" s="24"/>
      <c r="I32" s="21">
        <f>G32*235.16</f>
        <v>0</v>
      </c>
      <c r="J32" s="24">
        <v>7294</v>
      </c>
      <c r="K32" s="94">
        <f t="shared" si="0"/>
        <v>0</v>
      </c>
      <c r="L32" s="97"/>
    </row>
    <row r="33" spans="1:12" ht="22.5" customHeight="1" hidden="1">
      <c r="A33" s="33"/>
      <c r="B33" s="33"/>
      <c r="C33" s="34"/>
      <c r="D33" s="89" t="s">
        <v>219</v>
      </c>
      <c r="E33" s="36" t="s">
        <v>107</v>
      </c>
      <c r="F33" s="37" t="s">
        <v>54</v>
      </c>
      <c r="G33" s="24"/>
      <c r="H33" s="24"/>
      <c r="I33" s="21">
        <f>G33*293.84</f>
        <v>0</v>
      </c>
      <c r="J33" s="24">
        <v>7294</v>
      </c>
      <c r="K33" s="94">
        <f t="shared" si="0"/>
        <v>0</v>
      </c>
      <c r="L33" s="97"/>
    </row>
    <row r="34" spans="1:12" ht="22.5" customHeight="1" hidden="1">
      <c r="A34" s="33"/>
      <c r="B34" s="33"/>
      <c r="C34" s="34"/>
      <c r="D34" s="89" t="s">
        <v>203</v>
      </c>
      <c r="E34" s="36" t="s">
        <v>107</v>
      </c>
      <c r="F34" s="37" t="s">
        <v>54</v>
      </c>
      <c r="G34" s="24"/>
      <c r="H34" s="24"/>
      <c r="I34" s="21">
        <f>127.82*G34</f>
        <v>0</v>
      </c>
      <c r="J34" s="24">
        <v>7294</v>
      </c>
      <c r="K34" s="94">
        <f t="shared" si="0"/>
        <v>0</v>
      </c>
      <c r="L34" s="97"/>
    </row>
    <row r="35" spans="1:12" ht="22.5" customHeight="1" hidden="1">
      <c r="A35" s="33"/>
      <c r="B35" s="33"/>
      <c r="C35" s="34"/>
      <c r="D35" s="36" t="s">
        <v>223</v>
      </c>
      <c r="E35" s="36" t="s">
        <v>107</v>
      </c>
      <c r="F35" s="37" t="s">
        <v>224</v>
      </c>
      <c r="G35" s="24"/>
      <c r="H35" s="24"/>
      <c r="I35" s="21">
        <f>G35*109.79</f>
        <v>0</v>
      </c>
      <c r="J35" s="24">
        <v>7294</v>
      </c>
      <c r="K35" s="94">
        <f t="shared" si="0"/>
        <v>0</v>
      </c>
      <c r="L35" s="97"/>
    </row>
    <row r="36" spans="1:12" ht="12" customHeight="1">
      <c r="A36" s="33"/>
      <c r="B36" s="33"/>
      <c r="C36" s="34"/>
      <c r="D36" s="35" t="s">
        <v>15</v>
      </c>
      <c r="E36" s="36"/>
      <c r="F36" s="37"/>
      <c r="G36" s="24"/>
      <c r="H36" s="24"/>
      <c r="I36" s="38"/>
      <c r="J36" s="24"/>
      <c r="K36" s="94">
        <f t="shared" si="0"/>
        <v>0</v>
      </c>
      <c r="L36" s="97"/>
    </row>
    <row r="37" spans="1:12" ht="21.75" customHeight="1">
      <c r="A37" s="33">
        <v>5</v>
      </c>
      <c r="B37" s="33" t="s">
        <v>16</v>
      </c>
      <c r="C37" s="34">
        <v>13</v>
      </c>
      <c r="D37" s="36" t="s">
        <v>17</v>
      </c>
      <c r="E37" s="36" t="s">
        <v>24</v>
      </c>
      <c r="F37" s="37" t="s">
        <v>18</v>
      </c>
      <c r="G37" s="24">
        <v>0.6</v>
      </c>
      <c r="H37" s="24">
        <v>6</v>
      </c>
      <c r="I37" s="21">
        <f>584*G37*H37</f>
        <v>2102.3999999999996</v>
      </c>
      <c r="J37" s="24">
        <v>7294</v>
      </c>
      <c r="K37" s="94">
        <f t="shared" si="0"/>
        <v>0.024019742253907315</v>
      </c>
      <c r="L37" s="97"/>
    </row>
    <row r="38" spans="1:12" ht="18.75" customHeight="1">
      <c r="A38" s="33"/>
      <c r="B38" s="33"/>
      <c r="C38" s="34">
        <v>14</v>
      </c>
      <c r="D38" s="36" t="s">
        <v>109</v>
      </c>
      <c r="E38" s="36" t="s">
        <v>24</v>
      </c>
      <c r="F38" s="37" t="s">
        <v>72</v>
      </c>
      <c r="G38" s="24">
        <v>5</v>
      </c>
      <c r="H38" s="24"/>
      <c r="I38" s="21">
        <f>G38*131.742</f>
        <v>658.7099999999999</v>
      </c>
      <c r="J38" s="24">
        <v>7294</v>
      </c>
      <c r="K38" s="94">
        <f t="shared" si="0"/>
        <v>0.007525706059775156</v>
      </c>
      <c r="L38" s="97"/>
    </row>
    <row r="39" spans="1:12" ht="22.5" hidden="1">
      <c r="A39" s="33"/>
      <c r="B39" s="33"/>
      <c r="C39" s="34"/>
      <c r="D39" s="36" t="s">
        <v>110</v>
      </c>
      <c r="E39" s="36" t="s">
        <v>24</v>
      </c>
      <c r="F39" s="37" t="s">
        <v>54</v>
      </c>
      <c r="G39" s="24"/>
      <c r="H39" s="24"/>
      <c r="I39" s="21">
        <f>10.356*G39*H39</f>
        <v>0</v>
      </c>
      <c r="J39" s="24">
        <v>7294</v>
      </c>
      <c r="K39" s="94">
        <f t="shared" si="0"/>
        <v>0</v>
      </c>
      <c r="L39" s="97"/>
    </row>
    <row r="40" spans="1:12" ht="22.5" hidden="1">
      <c r="A40" s="33"/>
      <c r="B40" s="33"/>
      <c r="C40" s="34"/>
      <c r="D40" s="36" t="s">
        <v>111</v>
      </c>
      <c r="E40" s="36" t="s">
        <v>24</v>
      </c>
      <c r="F40" s="37" t="s">
        <v>112</v>
      </c>
      <c r="G40" s="24"/>
      <c r="H40" s="24"/>
      <c r="I40" s="21">
        <f>G40*108.42</f>
        <v>0</v>
      </c>
      <c r="J40" s="24">
        <v>7294</v>
      </c>
      <c r="K40" s="94">
        <f t="shared" si="0"/>
        <v>0</v>
      </c>
      <c r="L40" s="97"/>
    </row>
    <row r="41" spans="1:12" ht="22.5" hidden="1">
      <c r="A41" s="33"/>
      <c r="B41" s="33"/>
      <c r="C41" s="34"/>
      <c r="D41" s="36" t="s">
        <v>216</v>
      </c>
      <c r="E41" s="36" t="s">
        <v>107</v>
      </c>
      <c r="F41" s="37" t="s">
        <v>54</v>
      </c>
      <c r="G41" s="24"/>
      <c r="H41" s="24">
        <v>0</v>
      </c>
      <c r="I41" s="21">
        <f>G41*180.36</f>
        <v>0</v>
      </c>
      <c r="J41" s="24">
        <v>7294</v>
      </c>
      <c r="K41" s="94">
        <f t="shared" si="0"/>
        <v>0</v>
      </c>
      <c r="L41" s="97"/>
    </row>
    <row r="42" spans="1:12" ht="23.25" customHeight="1">
      <c r="A42" s="33"/>
      <c r="B42" s="33"/>
      <c r="C42" s="34">
        <v>15</v>
      </c>
      <c r="D42" s="36" t="s">
        <v>236</v>
      </c>
      <c r="E42" s="36" t="s">
        <v>24</v>
      </c>
      <c r="F42" s="37" t="s">
        <v>112</v>
      </c>
      <c r="G42" s="24">
        <v>5</v>
      </c>
      <c r="H42" s="24"/>
      <c r="I42" s="21">
        <f>G42*411.41</f>
        <v>2057.05</v>
      </c>
      <c r="J42" s="24">
        <v>7294</v>
      </c>
      <c r="K42" s="94">
        <f t="shared" si="0"/>
        <v>0.0235016223379947</v>
      </c>
      <c r="L42" s="97"/>
    </row>
    <row r="43" spans="1:12" ht="23.25" customHeight="1" hidden="1">
      <c r="A43" s="33"/>
      <c r="B43" s="33"/>
      <c r="C43" s="34"/>
      <c r="D43" s="36" t="s">
        <v>212</v>
      </c>
      <c r="E43" s="36" t="s">
        <v>24</v>
      </c>
      <c r="F43" s="37" t="s">
        <v>124</v>
      </c>
      <c r="G43" s="24"/>
      <c r="H43" s="24"/>
      <c r="I43" s="21">
        <f>G43*17.629</f>
        <v>0</v>
      </c>
      <c r="J43" s="24">
        <v>7294</v>
      </c>
      <c r="K43" s="94">
        <f t="shared" si="0"/>
        <v>0</v>
      </c>
      <c r="L43" s="97"/>
    </row>
    <row r="44" spans="1:12" ht="12" customHeight="1">
      <c r="A44" s="33"/>
      <c r="B44" s="33"/>
      <c r="C44" s="34"/>
      <c r="D44" s="35" t="s">
        <v>113</v>
      </c>
      <c r="E44" s="36"/>
      <c r="F44" s="37"/>
      <c r="G44" s="24"/>
      <c r="H44" s="24"/>
      <c r="I44" s="45"/>
      <c r="J44" s="24"/>
      <c r="K44" s="94">
        <f t="shared" si="0"/>
        <v>0</v>
      </c>
      <c r="L44" s="97"/>
    </row>
    <row r="45" spans="1:12" ht="22.5">
      <c r="A45" s="33"/>
      <c r="B45" s="33"/>
      <c r="C45" s="34">
        <v>16</v>
      </c>
      <c r="D45" s="36" t="s">
        <v>203</v>
      </c>
      <c r="E45" s="36" t="s">
        <v>107</v>
      </c>
      <c r="F45" s="37" t="s">
        <v>54</v>
      </c>
      <c r="G45" s="24"/>
      <c r="H45" s="24"/>
      <c r="I45" s="21">
        <f>G45*19.23</f>
        <v>0</v>
      </c>
      <c r="J45" s="24">
        <v>7294</v>
      </c>
      <c r="K45" s="94">
        <f t="shared" si="0"/>
        <v>0</v>
      </c>
      <c r="L45" s="97"/>
    </row>
    <row r="46" spans="1:12" ht="22.5" hidden="1">
      <c r="A46" s="33"/>
      <c r="B46" s="33"/>
      <c r="C46" s="34"/>
      <c r="D46" s="36" t="s">
        <v>114</v>
      </c>
      <c r="E46" s="36" t="s">
        <v>24</v>
      </c>
      <c r="F46" s="37" t="s">
        <v>54</v>
      </c>
      <c r="G46" s="24"/>
      <c r="H46" s="24"/>
      <c r="I46" s="21"/>
      <c r="J46" s="24">
        <v>7294</v>
      </c>
      <c r="K46" s="94">
        <f t="shared" si="0"/>
        <v>0</v>
      </c>
      <c r="L46" s="97"/>
    </row>
    <row r="47" spans="1:12" ht="22.5">
      <c r="A47" s="33"/>
      <c r="B47" s="33"/>
      <c r="C47" s="34">
        <v>17</v>
      </c>
      <c r="D47" s="36" t="s">
        <v>115</v>
      </c>
      <c r="E47" s="36" t="s">
        <v>107</v>
      </c>
      <c r="F47" s="37" t="s">
        <v>91</v>
      </c>
      <c r="G47" s="24">
        <v>2</v>
      </c>
      <c r="I47" s="21">
        <v>64230</v>
      </c>
      <c r="J47" s="24">
        <v>7294</v>
      </c>
      <c r="K47" s="94">
        <f t="shared" si="0"/>
        <v>0.7338223197148341</v>
      </c>
      <c r="L47" s="24" t="s">
        <v>237</v>
      </c>
    </row>
    <row r="48" spans="1:12" ht="22.5" hidden="1">
      <c r="A48" s="33"/>
      <c r="B48" s="33"/>
      <c r="C48" s="34"/>
      <c r="D48" s="36" t="s">
        <v>195</v>
      </c>
      <c r="E48" s="36" t="s">
        <v>107</v>
      </c>
      <c r="F48" s="37" t="s">
        <v>54</v>
      </c>
      <c r="G48" s="24"/>
      <c r="H48" s="24"/>
      <c r="I48" s="21">
        <f>G48*183.51</f>
        <v>0</v>
      </c>
      <c r="J48" s="24">
        <v>7294</v>
      </c>
      <c r="K48" s="94">
        <f t="shared" si="0"/>
        <v>0</v>
      </c>
      <c r="L48" s="97"/>
    </row>
    <row r="49" spans="1:12" ht="22.5" hidden="1">
      <c r="A49" s="33"/>
      <c r="B49" s="33"/>
      <c r="C49" s="34"/>
      <c r="D49" s="36" t="s">
        <v>227</v>
      </c>
      <c r="E49" s="36" t="s">
        <v>107</v>
      </c>
      <c r="F49" s="37" t="s">
        <v>54</v>
      </c>
      <c r="G49" s="24"/>
      <c r="H49" s="24"/>
      <c r="I49" s="21">
        <f>G49*52199.86</f>
        <v>0</v>
      </c>
      <c r="J49" s="24">
        <v>7294</v>
      </c>
      <c r="K49" s="94">
        <f t="shared" si="0"/>
        <v>0</v>
      </c>
      <c r="L49" s="97"/>
    </row>
    <row r="50" spans="1:12" ht="15.75">
      <c r="A50" s="33"/>
      <c r="B50" s="33"/>
      <c r="C50" s="34"/>
      <c r="D50" s="35" t="s">
        <v>116</v>
      </c>
      <c r="E50" s="36"/>
      <c r="F50" s="37"/>
      <c r="G50" s="24"/>
      <c r="H50" s="24"/>
      <c r="I50" s="21"/>
      <c r="J50" s="24"/>
      <c r="K50" s="94">
        <f t="shared" si="0"/>
        <v>0</v>
      </c>
      <c r="L50" s="97"/>
    </row>
    <row r="51" spans="1:12" ht="21.75" customHeight="1">
      <c r="A51" s="33"/>
      <c r="B51" s="33"/>
      <c r="C51" s="34">
        <v>18</v>
      </c>
      <c r="D51" s="36" t="s">
        <v>117</v>
      </c>
      <c r="E51" s="36" t="s">
        <v>24</v>
      </c>
      <c r="F51" s="37" t="s">
        <v>54</v>
      </c>
      <c r="G51" s="24">
        <v>40</v>
      </c>
      <c r="H51" s="24"/>
      <c r="I51" s="21">
        <f>G51*287.3</f>
        <v>11492</v>
      </c>
      <c r="J51" s="24">
        <v>7294</v>
      </c>
      <c r="K51" s="94">
        <f t="shared" si="0"/>
        <v>0.1312951284160497</v>
      </c>
      <c r="L51" s="97"/>
    </row>
    <row r="52" spans="1:12" ht="22.5" hidden="1">
      <c r="A52" s="33"/>
      <c r="B52" s="33"/>
      <c r="C52" s="34"/>
      <c r="D52" s="36" t="s">
        <v>118</v>
      </c>
      <c r="E52" s="36" t="s">
        <v>24</v>
      </c>
      <c r="F52" s="37" t="s">
        <v>78</v>
      </c>
      <c r="G52" s="24"/>
      <c r="H52" s="24"/>
      <c r="I52" s="21"/>
      <c r="J52" s="24">
        <v>7294</v>
      </c>
      <c r="K52" s="94">
        <f t="shared" si="0"/>
        <v>0</v>
      </c>
      <c r="L52" s="97"/>
    </row>
    <row r="53" spans="1:12" ht="22.5" hidden="1">
      <c r="A53" s="33"/>
      <c r="B53" s="33"/>
      <c r="C53" s="34"/>
      <c r="D53" s="36" t="s">
        <v>213</v>
      </c>
      <c r="E53" s="36" t="s">
        <v>24</v>
      </c>
      <c r="F53" s="37" t="s">
        <v>54</v>
      </c>
      <c r="G53" s="24"/>
      <c r="H53" s="24"/>
      <c r="I53" s="21">
        <f>G53*29.76</f>
        <v>0</v>
      </c>
      <c r="J53" s="24">
        <v>7294</v>
      </c>
      <c r="K53" s="94">
        <f t="shared" si="0"/>
        <v>0</v>
      </c>
      <c r="L53" s="97"/>
    </row>
    <row r="54" spans="1:12" ht="12" customHeight="1">
      <c r="A54" s="33"/>
      <c r="B54" s="33"/>
      <c r="C54" s="104" t="s">
        <v>119</v>
      </c>
      <c r="D54" s="104"/>
      <c r="E54" s="104"/>
      <c r="F54" s="104"/>
      <c r="G54" s="104"/>
      <c r="H54" s="104"/>
      <c r="I54" s="47"/>
      <c r="J54" s="24"/>
      <c r="K54" s="94">
        <f t="shared" si="0"/>
        <v>0</v>
      </c>
      <c r="L54" s="97"/>
    </row>
    <row r="55" spans="1:12" ht="12" customHeight="1">
      <c r="A55" s="33"/>
      <c r="B55" s="33"/>
      <c r="C55" s="34"/>
      <c r="D55" s="35" t="s">
        <v>120</v>
      </c>
      <c r="E55" s="46"/>
      <c r="F55" s="46"/>
      <c r="G55" s="46"/>
      <c r="H55" s="46"/>
      <c r="I55" s="46"/>
      <c r="J55" s="24"/>
      <c r="K55" s="94">
        <f t="shared" si="0"/>
        <v>0</v>
      </c>
      <c r="L55" s="97"/>
    </row>
    <row r="56" spans="1:12" ht="22.5">
      <c r="A56" s="33">
        <v>20</v>
      </c>
      <c r="B56" s="33"/>
      <c r="C56" s="34">
        <v>19</v>
      </c>
      <c r="D56" s="36" t="s">
        <v>240</v>
      </c>
      <c r="E56" s="36" t="s">
        <v>121</v>
      </c>
      <c r="F56" s="37" t="s">
        <v>112</v>
      </c>
      <c r="G56" s="24">
        <v>2</v>
      </c>
      <c r="H56" s="24">
        <v>12</v>
      </c>
      <c r="I56" s="21">
        <f>G56*H56*37</f>
        <v>888</v>
      </c>
      <c r="J56" s="24">
        <v>7294</v>
      </c>
      <c r="K56" s="94">
        <f t="shared" si="0"/>
        <v>0.010145324924595559</v>
      </c>
      <c r="L56" s="97"/>
    </row>
    <row r="57" spans="1:12" ht="41.25" customHeight="1">
      <c r="A57" s="102" t="s">
        <v>22</v>
      </c>
      <c r="B57" s="102"/>
      <c r="C57" s="34">
        <v>20</v>
      </c>
      <c r="D57" s="40" t="s">
        <v>122</v>
      </c>
      <c r="E57" s="36" t="s">
        <v>123</v>
      </c>
      <c r="F57" s="24" t="s">
        <v>89</v>
      </c>
      <c r="G57" s="24">
        <v>144</v>
      </c>
      <c r="H57" s="24"/>
      <c r="I57" s="21">
        <f>(107.61+538.05+7294)*2</f>
        <v>15879.32</v>
      </c>
      <c r="J57" s="24">
        <v>7294</v>
      </c>
      <c r="K57" s="94">
        <f t="shared" si="0"/>
        <v>0.18141988849282514</v>
      </c>
      <c r="L57" s="97"/>
    </row>
    <row r="58" spans="1:12" ht="25.5" customHeight="1">
      <c r="A58" s="30"/>
      <c r="B58" s="30"/>
      <c r="C58" s="34">
        <v>21</v>
      </c>
      <c r="D58" s="40" t="s">
        <v>191</v>
      </c>
      <c r="E58" s="36" t="s">
        <v>24</v>
      </c>
      <c r="F58" s="24" t="s">
        <v>89</v>
      </c>
      <c r="G58" s="24">
        <f>G9</f>
        <v>144</v>
      </c>
      <c r="H58" s="24"/>
      <c r="I58" s="21">
        <f>G58*150</f>
        <v>21600</v>
      </c>
      <c r="J58" s="24">
        <v>7294</v>
      </c>
      <c r="K58" s="94">
        <f t="shared" si="0"/>
        <v>0.24677817384151357</v>
      </c>
      <c r="L58" s="97"/>
    </row>
    <row r="59" spans="1:12" ht="21.75" customHeight="1" hidden="1">
      <c r="A59" s="30"/>
      <c r="B59" s="30"/>
      <c r="C59" s="34"/>
      <c r="D59" s="40" t="s">
        <v>207</v>
      </c>
      <c r="E59" s="36" t="s">
        <v>24</v>
      </c>
      <c r="F59" s="24" t="s">
        <v>124</v>
      </c>
      <c r="G59" s="24"/>
      <c r="H59" s="24"/>
      <c r="I59" s="21">
        <f>G59*2090.26</f>
        <v>0</v>
      </c>
      <c r="J59" s="24">
        <v>7294</v>
      </c>
      <c r="K59" s="94">
        <f t="shared" si="0"/>
        <v>0</v>
      </c>
      <c r="L59" s="97"/>
    </row>
    <row r="60" spans="1:12" ht="27" customHeight="1">
      <c r="A60" s="30"/>
      <c r="B60" s="30"/>
      <c r="C60" s="34">
        <v>22</v>
      </c>
      <c r="D60" s="40" t="s">
        <v>125</v>
      </c>
      <c r="E60" s="36" t="s">
        <v>24</v>
      </c>
      <c r="F60" s="24" t="s">
        <v>124</v>
      </c>
      <c r="G60" s="24">
        <v>6</v>
      </c>
      <c r="H60" s="24"/>
      <c r="I60" s="21">
        <f>G60*1191.47</f>
        <v>7148.82</v>
      </c>
      <c r="J60" s="24">
        <v>7294</v>
      </c>
      <c r="K60" s="94">
        <f t="shared" si="0"/>
        <v>0.08167466410748561</v>
      </c>
      <c r="L60" s="97"/>
    </row>
    <row r="61" spans="1:12" ht="29.25" customHeight="1" hidden="1">
      <c r="A61" s="30"/>
      <c r="B61" s="30"/>
      <c r="C61" s="34"/>
      <c r="D61" s="40" t="s">
        <v>126</v>
      </c>
      <c r="E61" s="36" t="s">
        <v>24</v>
      </c>
      <c r="F61" s="24" t="s">
        <v>124</v>
      </c>
      <c r="G61" s="24"/>
      <c r="H61" s="24"/>
      <c r="I61" s="21">
        <f>G61*1542.93</f>
        <v>0</v>
      </c>
      <c r="J61" s="24">
        <v>7294</v>
      </c>
      <c r="K61" s="94">
        <f t="shared" si="0"/>
        <v>0</v>
      </c>
      <c r="L61" s="97"/>
    </row>
    <row r="62" spans="1:12" ht="29.25" customHeight="1" hidden="1">
      <c r="A62" s="30"/>
      <c r="B62" s="30"/>
      <c r="C62" s="34"/>
      <c r="D62" s="40" t="s">
        <v>208</v>
      </c>
      <c r="E62" s="36" t="s">
        <v>24</v>
      </c>
      <c r="F62" s="24" t="s">
        <v>124</v>
      </c>
      <c r="G62" s="24"/>
      <c r="H62" s="24"/>
      <c r="I62" s="21">
        <f>G62*154.293</f>
        <v>0</v>
      </c>
      <c r="J62" s="24">
        <v>7294</v>
      </c>
      <c r="K62" s="94">
        <f t="shared" si="0"/>
        <v>0</v>
      </c>
      <c r="L62" s="97"/>
    </row>
    <row r="63" spans="1:12" ht="29.25" customHeight="1" hidden="1">
      <c r="A63" s="30"/>
      <c r="B63" s="30"/>
      <c r="C63" s="34"/>
      <c r="D63" s="40" t="s">
        <v>209</v>
      </c>
      <c r="E63" s="36" t="s">
        <v>24</v>
      </c>
      <c r="F63" s="24" t="s">
        <v>124</v>
      </c>
      <c r="G63" s="24"/>
      <c r="H63" s="24"/>
      <c r="I63" s="21">
        <f>G63*748.94</f>
        <v>0</v>
      </c>
      <c r="J63" s="24">
        <v>7294</v>
      </c>
      <c r="K63" s="94">
        <f t="shared" si="0"/>
        <v>0</v>
      </c>
      <c r="L63" s="97"/>
    </row>
    <row r="64" spans="1:12" ht="29.25" customHeight="1">
      <c r="A64" s="30"/>
      <c r="B64" s="30"/>
      <c r="C64" s="34">
        <v>23</v>
      </c>
      <c r="D64" s="40" t="s">
        <v>210</v>
      </c>
      <c r="E64" s="36" t="s">
        <v>24</v>
      </c>
      <c r="F64" s="24" t="s">
        <v>124</v>
      </c>
      <c r="G64" s="24">
        <v>30</v>
      </c>
      <c r="H64" s="24"/>
      <c r="I64" s="21">
        <f>G64*989.9</f>
        <v>29697</v>
      </c>
      <c r="J64" s="24">
        <v>7294</v>
      </c>
      <c r="K64" s="94">
        <f t="shared" si="0"/>
        <v>0.3392857142857143</v>
      </c>
      <c r="L64" s="24" t="s">
        <v>238</v>
      </c>
    </row>
    <row r="65" spans="1:12" ht="29.25" customHeight="1">
      <c r="A65" s="30"/>
      <c r="B65" s="30"/>
      <c r="C65" s="34">
        <v>24</v>
      </c>
      <c r="D65" s="40" t="s">
        <v>127</v>
      </c>
      <c r="E65" s="36" t="s">
        <v>24</v>
      </c>
      <c r="F65" s="24" t="s">
        <v>124</v>
      </c>
      <c r="G65" s="24">
        <v>60</v>
      </c>
      <c r="H65" s="24"/>
      <c r="I65" s="21">
        <f>G65*688</f>
        <v>41280</v>
      </c>
      <c r="J65" s="24">
        <v>7294</v>
      </c>
      <c r="K65" s="94">
        <f t="shared" si="0"/>
        <v>0.4716205100082259</v>
      </c>
      <c r="L65" s="24" t="s">
        <v>238</v>
      </c>
    </row>
    <row r="66" spans="1:12" ht="29.25" customHeight="1">
      <c r="A66" s="30"/>
      <c r="B66" s="30"/>
      <c r="C66" s="34">
        <v>25</v>
      </c>
      <c r="D66" s="40" t="s">
        <v>128</v>
      </c>
      <c r="E66" s="36" t="s">
        <v>24</v>
      </c>
      <c r="F66" s="24" t="s">
        <v>129</v>
      </c>
      <c r="G66" s="24">
        <v>12</v>
      </c>
      <c r="H66" s="24"/>
      <c r="I66" s="21">
        <f>G66*285.354</f>
        <v>3424.2479999999996</v>
      </c>
      <c r="J66" s="24">
        <v>7294</v>
      </c>
      <c r="K66" s="94">
        <f t="shared" si="0"/>
        <v>0.039121743899095146</v>
      </c>
      <c r="L66" s="97"/>
    </row>
    <row r="67" spans="1:12" ht="29.25" customHeight="1">
      <c r="A67" s="30"/>
      <c r="B67" s="30"/>
      <c r="C67" s="34">
        <v>26</v>
      </c>
      <c r="D67" s="40" t="s">
        <v>130</v>
      </c>
      <c r="E67" s="36" t="s">
        <v>24</v>
      </c>
      <c r="F67" s="24" t="s">
        <v>129</v>
      </c>
      <c r="G67" s="24">
        <v>4</v>
      </c>
      <c r="H67" s="24"/>
      <c r="I67" s="21">
        <f>G67*2790.59</f>
        <v>11162.36</v>
      </c>
      <c r="J67" s="24">
        <v>7294</v>
      </c>
      <c r="K67" s="94">
        <f t="shared" si="0"/>
        <v>0.12752901928525728</v>
      </c>
      <c r="L67" s="97"/>
    </row>
    <row r="68" spans="1:12" ht="29.25" customHeight="1">
      <c r="A68" s="30"/>
      <c r="B68" s="30"/>
      <c r="C68" s="34">
        <v>27</v>
      </c>
      <c r="D68" s="40" t="s">
        <v>131</v>
      </c>
      <c r="E68" s="36" t="s">
        <v>24</v>
      </c>
      <c r="F68" s="24" t="s">
        <v>129</v>
      </c>
      <c r="G68" s="24">
        <v>10</v>
      </c>
      <c r="H68" s="24"/>
      <c r="I68" s="21">
        <f>G68*1427.65</f>
        <v>14276.5</v>
      </c>
      <c r="J68" s="24">
        <v>7294</v>
      </c>
      <c r="K68" s="94">
        <f t="shared" si="0"/>
        <v>0.16310780550223927</v>
      </c>
      <c r="L68" s="97"/>
    </row>
    <row r="69" spans="1:12" ht="24.75" customHeight="1">
      <c r="A69" s="30"/>
      <c r="B69" s="30"/>
      <c r="C69" s="34">
        <v>28</v>
      </c>
      <c r="D69" s="40" t="s">
        <v>132</v>
      </c>
      <c r="E69" s="36" t="s">
        <v>24</v>
      </c>
      <c r="F69" s="24" t="s">
        <v>124</v>
      </c>
      <c r="G69" s="24"/>
      <c r="H69" s="24"/>
      <c r="I69" s="21">
        <f>G69*406.37</f>
        <v>0</v>
      </c>
      <c r="J69" s="24">
        <v>7294</v>
      </c>
      <c r="K69" s="94">
        <f t="shared" si="0"/>
        <v>0</v>
      </c>
      <c r="L69" s="97"/>
    </row>
    <row r="70" spans="1:12" ht="22.5" customHeight="1">
      <c r="A70" s="30"/>
      <c r="B70" s="30"/>
      <c r="C70" s="34">
        <v>29</v>
      </c>
      <c r="D70" s="40" t="s">
        <v>133</v>
      </c>
      <c r="E70" s="36" t="s">
        <v>24</v>
      </c>
      <c r="F70" s="24" t="s">
        <v>112</v>
      </c>
      <c r="G70" s="24">
        <v>10</v>
      </c>
      <c r="H70" s="24"/>
      <c r="I70" s="21">
        <f>G70*470.28</f>
        <v>4702.799999999999</v>
      </c>
      <c r="J70" s="24">
        <v>7294</v>
      </c>
      <c r="K70" s="94">
        <f t="shared" si="0"/>
        <v>0.0537290924047162</v>
      </c>
      <c r="L70" s="97"/>
    </row>
    <row r="71" spans="1:12" ht="21.75" customHeight="1">
      <c r="A71" s="30"/>
      <c r="B71" s="30"/>
      <c r="C71" s="34">
        <v>30</v>
      </c>
      <c r="D71" s="40" t="s">
        <v>134</v>
      </c>
      <c r="E71" s="36" t="s">
        <v>24</v>
      </c>
      <c r="F71" s="24" t="s">
        <v>112</v>
      </c>
      <c r="G71" s="24">
        <v>4</v>
      </c>
      <c r="H71" s="24"/>
      <c r="I71" s="21">
        <f>G71*274.83</f>
        <v>1099.32</v>
      </c>
      <c r="J71" s="24">
        <v>7294</v>
      </c>
      <c r="K71" s="94">
        <f aca="true" t="shared" si="1" ref="K71:K136">I71/12/7294</f>
        <v>0.012559638058678366</v>
      </c>
      <c r="L71" s="97"/>
    </row>
    <row r="72" spans="1:12" ht="22.5" customHeight="1">
      <c r="A72" s="30"/>
      <c r="B72" s="30"/>
      <c r="C72" s="34">
        <v>31</v>
      </c>
      <c r="D72" s="40" t="s">
        <v>135</v>
      </c>
      <c r="E72" s="36" t="s">
        <v>24</v>
      </c>
      <c r="F72" s="24" t="s">
        <v>112</v>
      </c>
      <c r="G72" s="24">
        <v>10</v>
      </c>
      <c r="H72" s="24"/>
      <c r="I72" s="21">
        <f>G72*254.51</f>
        <v>2545.1</v>
      </c>
      <c r="J72" s="24">
        <v>7294</v>
      </c>
      <c r="K72" s="94">
        <f t="shared" si="1"/>
        <v>0.029077552326112786</v>
      </c>
      <c r="L72" s="97"/>
    </row>
    <row r="73" spans="1:12" ht="21" customHeight="1">
      <c r="A73" s="30"/>
      <c r="B73" s="30"/>
      <c r="C73" s="34">
        <v>32</v>
      </c>
      <c r="D73" s="40" t="s">
        <v>136</v>
      </c>
      <c r="E73" s="36" t="s">
        <v>24</v>
      </c>
      <c r="F73" s="24" t="s">
        <v>112</v>
      </c>
      <c r="G73" s="24">
        <v>4</v>
      </c>
      <c r="H73" s="24"/>
      <c r="I73" s="21">
        <f>G73*217.68</f>
        <v>870.72</v>
      </c>
      <c r="J73" s="24">
        <v>7294</v>
      </c>
      <c r="K73" s="94">
        <f t="shared" si="1"/>
        <v>0.009947902385522348</v>
      </c>
      <c r="L73" s="97"/>
    </row>
    <row r="74" spans="1:12" ht="19.5" customHeight="1">
      <c r="A74" s="33">
        <v>22</v>
      </c>
      <c r="B74" s="33" t="s">
        <v>23</v>
      </c>
      <c r="C74" s="34">
        <v>33</v>
      </c>
      <c r="D74" s="40" t="s">
        <v>137</v>
      </c>
      <c r="E74" s="36" t="s">
        <v>24</v>
      </c>
      <c r="F74" s="37" t="s">
        <v>112</v>
      </c>
      <c r="G74" s="24">
        <v>26</v>
      </c>
      <c r="H74" s="24"/>
      <c r="I74" s="21">
        <f>G74*138.44</f>
        <v>3599.44</v>
      </c>
      <c r="J74" s="24">
        <v>7294</v>
      </c>
      <c r="K74" s="94">
        <f t="shared" si="1"/>
        <v>0.04112329768759711</v>
      </c>
      <c r="L74" s="97"/>
    </row>
    <row r="75" spans="1:12" ht="23.25" customHeight="1" hidden="1">
      <c r="A75" s="33"/>
      <c r="B75" s="33"/>
      <c r="C75" s="34">
        <v>27</v>
      </c>
      <c r="D75" s="40" t="s">
        <v>138</v>
      </c>
      <c r="E75" s="36" t="s">
        <v>69</v>
      </c>
      <c r="F75" s="37" t="s">
        <v>41</v>
      </c>
      <c r="G75" s="24"/>
      <c r="H75" s="24"/>
      <c r="I75" s="90">
        <v>0</v>
      </c>
      <c r="J75" s="24">
        <v>7294</v>
      </c>
      <c r="K75" s="94">
        <f t="shared" si="1"/>
        <v>0</v>
      </c>
      <c r="L75" s="97"/>
    </row>
    <row r="76" spans="1:12" ht="22.5" hidden="1">
      <c r="A76" s="33"/>
      <c r="B76" s="33"/>
      <c r="C76" s="34">
        <v>28</v>
      </c>
      <c r="D76" s="40" t="s">
        <v>196</v>
      </c>
      <c r="E76" s="40" t="s">
        <v>25</v>
      </c>
      <c r="F76" s="37" t="s">
        <v>41</v>
      </c>
      <c r="G76" s="24"/>
      <c r="H76" s="24"/>
      <c r="I76" s="21">
        <f>G76*H76*878.68</f>
        <v>0</v>
      </c>
      <c r="J76" s="24">
        <v>7294</v>
      </c>
      <c r="K76" s="94">
        <f t="shared" si="1"/>
        <v>0</v>
      </c>
      <c r="L76" s="97"/>
    </row>
    <row r="77" spans="1:12" ht="22.5" hidden="1">
      <c r="A77" s="33"/>
      <c r="B77" s="33"/>
      <c r="C77" s="34"/>
      <c r="D77" s="40" t="s">
        <v>197</v>
      </c>
      <c r="E77" s="40" t="s">
        <v>25</v>
      </c>
      <c r="F77" s="37" t="s">
        <v>112</v>
      </c>
      <c r="G77" s="24"/>
      <c r="H77" s="24"/>
      <c r="I77" s="21">
        <f>G77*366.29</f>
        <v>0</v>
      </c>
      <c r="J77" s="24">
        <v>7294</v>
      </c>
      <c r="K77" s="94">
        <f t="shared" si="1"/>
        <v>0</v>
      </c>
      <c r="L77" s="97"/>
    </row>
    <row r="78" spans="1:12" ht="22.5" hidden="1">
      <c r="A78" s="33"/>
      <c r="B78" s="33"/>
      <c r="C78" s="34"/>
      <c r="D78" s="40" t="s">
        <v>225</v>
      </c>
      <c r="E78" s="40" t="s">
        <v>25</v>
      </c>
      <c r="F78" s="37" t="s">
        <v>41</v>
      </c>
      <c r="G78" s="24"/>
      <c r="H78" s="24"/>
      <c r="I78" s="21">
        <f>G78*466.3</f>
        <v>0</v>
      </c>
      <c r="J78" s="24">
        <v>7294</v>
      </c>
      <c r="K78" s="94">
        <f t="shared" si="1"/>
        <v>0</v>
      </c>
      <c r="L78" s="97"/>
    </row>
    <row r="79" spans="1:12" ht="22.5">
      <c r="A79" s="33"/>
      <c r="B79" s="33"/>
      <c r="C79" s="34">
        <v>34</v>
      </c>
      <c r="D79" s="40" t="s">
        <v>214</v>
      </c>
      <c r="E79" s="40" t="s">
        <v>25</v>
      </c>
      <c r="F79" s="37" t="s">
        <v>112</v>
      </c>
      <c r="G79" s="24">
        <v>20</v>
      </c>
      <c r="H79" s="24"/>
      <c r="I79" s="21">
        <f>G79*248.93</f>
        <v>4978.6</v>
      </c>
      <c r="J79" s="24">
        <v>7294</v>
      </c>
      <c r="K79" s="94">
        <f t="shared" si="1"/>
        <v>0.05688008408737776</v>
      </c>
      <c r="L79" s="97"/>
    </row>
    <row r="80" spans="1:12" ht="22.5" hidden="1">
      <c r="A80" s="33"/>
      <c r="B80" s="33"/>
      <c r="C80" s="34">
        <v>29</v>
      </c>
      <c r="D80" s="40" t="s">
        <v>139</v>
      </c>
      <c r="E80" s="36" t="s">
        <v>24</v>
      </c>
      <c r="F80" s="37" t="s">
        <v>124</v>
      </c>
      <c r="G80" s="24"/>
      <c r="H80" s="24"/>
      <c r="I80" s="21">
        <f>G80*642.27</f>
        <v>0</v>
      </c>
      <c r="J80" s="24">
        <v>7294</v>
      </c>
      <c r="K80" s="94">
        <f t="shared" si="1"/>
        <v>0</v>
      </c>
      <c r="L80" s="97"/>
    </row>
    <row r="81" spans="1:12" ht="22.5" hidden="1">
      <c r="A81" s="33"/>
      <c r="B81" s="33"/>
      <c r="C81" s="34"/>
      <c r="D81" s="40" t="s">
        <v>211</v>
      </c>
      <c r="E81" s="36" t="s">
        <v>24</v>
      </c>
      <c r="F81" s="37" t="s">
        <v>112</v>
      </c>
      <c r="G81" s="24"/>
      <c r="H81" s="24"/>
      <c r="I81" s="21">
        <f>G81*1200</f>
        <v>0</v>
      </c>
      <c r="J81" s="24">
        <v>7294</v>
      </c>
      <c r="K81" s="94">
        <f t="shared" si="1"/>
        <v>0</v>
      </c>
      <c r="L81" s="97"/>
    </row>
    <row r="82" spans="1:12" ht="22.5">
      <c r="A82" s="33"/>
      <c r="B82" s="33"/>
      <c r="C82" s="34">
        <v>35</v>
      </c>
      <c r="D82" s="40" t="s">
        <v>140</v>
      </c>
      <c r="E82" s="36" t="s">
        <v>24</v>
      </c>
      <c r="F82" s="37" t="s">
        <v>124</v>
      </c>
      <c r="G82" s="24">
        <v>108</v>
      </c>
      <c r="H82" s="24">
        <v>1</v>
      </c>
      <c r="I82" s="21">
        <f>G82*150.28</f>
        <v>16230.24</v>
      </c>
      <c r="J82" s="24">
        <v>7294</v>
      </c>
      <c r="K82" s="94">
        <f t="shared" si="1"/>
        <v>0.1854291198245133</v>
      </c>
      <c r="L82" s="97"/>
    </row>
    <row r="83" spans="1:12" ht="19.5" customHeight="1">
      <c r="A83" s="33">
        <v>66</v>
      </c>
      <c r="B83" s="33" t="s">
        <v>27</v>
      </c>
      <c r="C83" s="34">
        <v>36</v>
      </c>
      <c r="D83" s="40" t="s">
        <v>34</v>
      </c>
      <c r="E83" s="40" t="s">
        <v>25</v>
      </c>
      <c r="F83" s="37" t="s">
        <v>124</v>
      </c>
      <c r="G83" s="24">
        <v>60</v>
      </c>
      <c r="H83" s="24">
        <v>2</v>
      </c>
      <c r="I83" s="21">
        <f>G83*150.28*H83</f>
        <v>18033.6</v>
      </c>
      <c r="J83" s="24">
        <v>7294</v>
      </c>
      <c r="K83" s="94">
        <f t="shared" si="1"/>
        <v>0.20603235536057032</v>
      </c>
      <c r="L83" s="97"/>
    </row>
    <row r="84" spans="1:12" ht="12" customHeight="1">
      <c r="A84" s="33">
        <v>73</v>
      </c>
      <c r="B84" s="33" t="s">
        <v>28</v>
      </c>
      <c r="C84" s="34">
        <v>37</v>
      </c>
      <c r="D84" s="40" t="s">
        <v>141</v>
      </c>
      <c r="E84" s="40" t="s">
        <v>13</v>
      </c>
      <c r="F84" s="37" t="s">
        <v>142</v>
      </c>
      <c r="G84" s="24">
        <v>27037</v>
      </c>
      <c r="H84" s="24">
        <v>1</v>
      </c>
      <c r="I84" s="21">
        <f>G84*H84*1.46</f>
        <v>39474.02</v>
      </c>
      <c r="J84" s="24">
        <v>7294</v>
      </c>
      <c r="K84" s="94">
        <f t="shared" si="1"/>
        <v>0.4509873411936752</v>
      </c>
      <c r="L84" s="97"/>
    </row>
    <row r="85" spans="1:12" ht="27.75" customHeight="1">
      <c r="A85" s="33">
        <v>84</v>
      </c>
      <c r="B85" s="33" t="s">
        <v>29</v>
      </c>
      <c r="C85" s="34">
        <v>38</v>
      </c>
      <c r="D85" s="40" t="s">
        <v>30</v>
      </c>
      <c r="E85" s="40" t="s">
        <v>25</v>
      </c>
      <c r="F85" s="37" t="s">
        <v>26</v>
      </c>
      <c r="G85" s="24"/>
      <c r="H85" s="24"/>
      <c r="I85" s="24">
        <f>G85*80.87*H85</f>
        <v>0</v>
      </c>
      <c r="J85" s="24">
        <v>7294</v>
      </c>
      <c r="K85" s="94">
        <f t="shared" si="1"/>
        <v>0</v>
      </c>
      <c r="L85" s="97"/>
    </row>
    <row r="86" spans="1:12" ht="24.75" customHeight="1">
      <c r="A86" s="33">
        <v>87</v>
      </c>
      <c r="B86" s="33" t="s">
        <v>31</v>
      </c>
      <c r="C86" s="34">
        <v>39</v>
      </c>
      <c r="D86" s="40" t="s">
        <v>32</v>
      </c>
      <c r="E86" s="40" t="s">
        <v>13</v>
      </c>
      <c r="F86" s="37" t="s">
        <v>33</v>
      </c>
      <c r="G86" s="24">
        <v>12.16</v>
      </c>
      <c r="H86" s="24"/>
      <c r="I86" s="90">
        <v>3501.12</v>
      </c>
      <c r="J86" s="24">
        <v>7294</v>
      </c>
      <c r="K86" s="94">
        <f t="shared" si="1"/>
        <v>0.04</v>
      </c>
      <c r="L86" s="97"/>
    </row>
    <row r="87" spans="1:12" ht="26.25" customHeight="1" hidden="1">
      <c r="A87" s="33"/>
      <c r="B87" s="33"/>
      <c r="C87" s="34">
        <v>34</v>
      </c>
      <c r="D87" s="40" t="s">
        <v>143</v>
      </c>
      <c r="E87" s="36" t="s">
        <v>69</v>
      </c>
      <c r="F87" s="37" t="s">
        <v>144</v>
      </c>
      <c r="G87" s="24"/>
      <c r="H87" s="24"/>
      <c r="I87" s="91">
        <f>G87*115603</f>
        <v>0</v>
      </c>
      <c r="J87" s="24">
        <v>7294</v>
      </c>
      <c r="K87" s="94">
        <f t="shared" si="1"/>
        <v>0</v>
      </c>
      <c r="L87" s="97"/>
    </row>
    <row r="88" spans="1:12" ht="26.25" customHeight="1">
      <c r="A88" s="33"/>
      <c r="B88" s="33"/>
      <c r="C88" s="34">
        <v>40</v>
      </c>
      <c r="D88" s="40" t="s">
        <v>231</v>
      </c>
      <c r="E88" s="36" t="s">
        <v>25</v>
      </c>
      <c r="F88" s="37" t="s">
        <v>41</v>
      </c>
      <c r="G88" s="24">
        <v>1</v>
      </c>
      <c r="H88" s="24">
        <v>12</v>
      </c>
      <c r="I88" s="91">
        <f>G88*H88*78.42</f>
        <v>941.04</v>
      </c>
      <c r="J88" s="24">
        <v>7294</v>
      </c>
      <c r="K88" s="94">
        <f t="shared" si="1"/>
        <v>0.010751302440361942</v>
      </c>
      <c r="L88" s="97"/>
    </row>
    <row r="89" spans="1:12" ht="12" customHeight="1">
      <c r="A89" s="102" t="s">
        <v>35</v>
      </c>
      <c r="B89" s="102"/>
      <c r="C89" s="48"/>
      <c r="D89" s="109" t="s">
        <v>36</v>
      </c>
      <c r="E89" s="109"/>
      <c r="F89" s="109"/>
      <c r="G89" s="49"/>
      <c r="H89" s="49"/>
      <c r="I89" s="24"/>
      <c r="J89" s="24"/>
      <c r="K89" s="94">
        <f t="shared" si="1"/>
        <v>0</v>
      </c>
      <c r="L89" s="97"/>
    </row>
    <row r="90" spans="1:12" ht="21.75" customHeight="1">
      <c r="A90" s="30"/>
      <c r="B90" s="30"/>
      <c r="C90" s="48">
        <v>41</v>
      </c>
      <c r="D90" s="40" t="s">
        <v>38</v>
      </c>
      <c r="E90" s="40" t="s">
        <v>25</v>
      </c>
      <c r="F90" s="88" t="s">
        <v>112</v>
      </c>
      <c r="G90" s="24"/>
      <c r="H90" s="49"/>
      <c r="I90" s="24">
        <f>G90*24.57</f>
        <v>0</v>
      </c>
      <c r="J90" s="24">
        <v>7294</v>
      </c>
      <c r="K90" s="94">
        <f t="shared" si="1"/>
        <v>0</v>
      </c>
      <c r="L90" s="97"/>
    </row>
    <row r="91" spans="1:12" ht="24" customHeight="1">
      <c r="A91" s="30"/>
      <c r="B91" s="30"/>
      <c r="C91" s="48">
        <v>42</v>
      </c>
      <c r="D91" s="40" t="s">
        <v>145</v>
      </c>
      <c r="E91" s="40" t="s">
        <v>25</v>
      </c>
      <c r="F91" s="88" t="s">
        <v>112</v>
      </c>
      <c r="G91" s="24">
        <v>10</v>
      </c>
      <c r="H91" s="49"/>
      <c r="I91" s="21">
        <f>G91*10.821*10</f>
        <v>1082.1</v>
      </c>
      <c r="J91" s="24">
        <v>7294</v>
      </c>
      <c r="K91" s="94">
        <f t="shared" si="1"/>
        <v>0.012362901014532492</v>
      </c>
      <c r="L91" s="97"/>
    </row>
    <row r="92" spans="1:12" ht="22.5" customHeight="1">
      <c r="A92" s="30"/>
      <c r="B92" s="30"/>
      <c r="C92" s="48">
        <v>43</v>
      </c>
      <c r="D92" s="40" t="s">
        <v>146</v>
      </c>
      <c r="E92" s="40" t="s">
        <v>25</v>
      </c>
      <c r="F92" s="88" t="s">
        <v>112</v>
      </c>
      <c r="G92" s="24">
        <v>5</v>
      </c>
      <c r="H92" s="49"/>
      <c r="I92" s="21">
        <f>G92*311.67</f>
        <v>1558.3500000000001</v>
      </c>
      <c r="J92" s="24">
        <v>7294</v>
      </c>
      <c r="K92" s="94">
        <f t="shared" si="1"/>
        <v>0.0178040170002742</v>
      </c>
      <c r="L92" s="97"/>
    </row>
    <row r="93" spans="1:12" ht="19.5" customHeight="1">
      <c r="A93" s="30"/>
      <c r="B93" s="30"/>
      <c r="C93" s="48">
        <v>44</v>
      </c>
      <c r="D93" s="40" t="s">
        <v>147</v>
      </c>
      <c r="E93" s="40" t="s">
        <v>25</v>
      </c>
      <c r="F93" s="88" t="s">
        <v>112</v>
      </c>
      <c r="G93" s="24"/>
      <c r="H93" s="49"/>
      <c r="I93" s="24">
        <f>G93*1065.68</f>
        <v>0</v>
      </c>
      <c r="J93" s="24">
        <v>7294</v>
      </c>
      <c r="K93" s="94">
        <f t="shared" si="1"/>
        <v>0</v>
      </c>
      <c r="L93" s="97"/>
    </row>
    <row r="94" spans="1:12" ht="19.5" customHeight="1">
      <c r="A94" s="30"/>
      <c r="B94" s="30"/>
      <c r="C94" s="48">
        <v>45</v>
      </c>
      <c r="D94" s="40" t="s">
        <v>148</v>
      </c>
      <c r="E94" s="40" t="s">
        <v>25</v>
      </c>
      <c r="F94" s="88" t="s">
        <v>112</v>
      </c>
      <c r="G94" s="24"/>
      <c r="H94" s="49"/>
      <c r="I94" s="24">
        <f>G94*531.39</f>
        <v>0</v>
      </c>
      <c r="J94" s="24">
        <v>7294</v>
      </c>
      <c r="K94" s="94">
        <f t="shared" si="1"/>
        <v>0</v>
      </c>
      <c r="L94" s="97"/>
    </row>
    <row r="95" spans="1:12" ht="20.25" customHeight="1">
      <c r="A95" s="30"/>
      <c r="B95" s="30"/>
      <c r="C95" s="48">
        <v>46</v>
      </c>
      <c r="D95" s="40" t="s">
        <v>194</v>
      </c>
      <c r="E95" s="40" t="s">
        <v>25</v>
      </c>
      <c r="F95" s="88" t="s">
        <v>112</v>
      </c>
      <c r="G95" s="24"/>
      <c r="H95" s="49"/>
      <c r="I95" s="24">
        <f>G95*94.62</f>
        <v>0</v>
      </c>
      <c r="J95" s="24">
        <v>7294</v>
      </c>
      <c r="K95" s="94">
        <f t="shared" si="1"/>
        <v>0</v>
      </c>
      <c r="L95" s="97"/>
    </row>
    <row r="96" spans="1:12" ht="20.25" customHeight="1">
      <c r="A96" s="33">
        <v>712</v>
      </c>
      <c r="B96" s="33" t="s">
        <v>37</v>
      </c>
      <c r="C96" s="34">
        <v>47</v>
      </c>
      <c r="D96" s="36" t="s">
        <v>149</v>
      </c>
      <c r="E96" s="40" t="s">
        <v>25</v>
      </c>
      <c r="F96" s="88" t="s">
        <v>112</v>
      </c>
      <c r="G96" s="24">
        <v>4</v>
      </c>
      <c r="H96" s="24"/>
      <c r="I96" s="21">
        <f>G96*66.57</f>
        <v>266.28</v>
      </c>
      <c r="J96" s="24">
        <v>7294</v>
      </c>
      <c r="K96" s="94">
        <f t="shared" si="1"/>
        <v>0.003042226487523992</v>
      </c>
      <c r="L96" s="97"/>
    </row>
    <row r="97" spans="1:12" ht="24" customHeight="1">
      <c r="A97" s="33"/>
      <c r="B97" s="33"/>
      <c r="C97" s="34">
        <v>48</v>
      </c>
      <c r="D97" s="36" t="s">
        <v>150</v>
      </c>
      <c r="E97" s="40" t="s">
        <v>25</v>
      </c>
      <c r="F97" s="88" t="s">
        <v>112</v>
      </c>
      <c r="G97" s="24"/>
      <c r="H97" s="24"/>
      <c r="I97" s="21">
        <f>G97*350.16</f>
        <v>0</v>
      </c>
      <c r="J97" s="24">
        <v>7294</v>
      </c>
      <c r="K97" s="94">
        <f t="shared" si="1"/>
        <v>0</v>
      </c>
      <c r="L97" s="97"/>
    </row>
    <row r="98" spans="1:12" ht="21.75" customHeight="1">
      <c r="A98" s="33"/>
      <c r="B98" s="33"/>
      <c r="C98" s="34">
        <v>49</v>
      </c>
      <c r="D98" s="36" t="s">
        <v>151</v>
      </c>
      <c r="E98" s="40" t="s">
        <v>25</v>
      </c>
      <c r="F98" s="88" t="s">
        <v>112</v>
      </c>
      <c r="G98" s="24"/>
      <c r="H98" s="24"/>
      <c r="I98" s="21">
        <f>G98*154</f>
        <v>0</v>
      </c>
      <c r="J98" s="24">
        <v>7294</v>
      </c>
      <c r="K98" s="94">
        <f t="shared" si="1"/>
        <v>0</v>
      </c>
      <c r="L98" s="97"/>
    </row>
    <row r="99" spans="1:12" ht="22.5">
      <c r="A99" s="33"/>
      <c r="B99" s="33"/>
      <c r="C99" s="34">
        <v>50</v>
      </c>
      <c r="D99" s="36" t="s">
        <v>152</v>
      </c>
      <c r="E99" s="40" t="s">
        <v>50</v>
      </c>
      <c r="F99" s="37" t="s">
        <v>41</v>
      </c>
      <c r="G99" s="24">
        <v>63</v>
      </c>
      <c r="H99" s="24"/>
      <c r="I99" s="21">
        <f>G99*223.84</f>
        <v>14101.92</v>
      </c>
      <c r="J99" s="24">
        <v>7294</v>
      </c>
      <c r="K99" s="94">
        <f t="shared" si="1"/>
        <v>0.16111324376199618</v>
      </c>
      <c r="L99" s="97"/>
    </row>
    <row r="100" spans="1:12" ht="22.5">
      <c r="A100" s="33"/>
      <c r="B100" s="33"/>
      <c r="C100" s="34">
        <v>51</v>
      </c>
      <c r="D100" s="36" t="s">
        <v>153</v>
      </c>
      <c r="E100" s="40" t="s">
        <v>25</v>
      </c>
      <c r="F100" s="37" t="s">
        <v>41</v>
      </c>
      <c r="G100" s="24">
        <v>9</v>
      </c>
      <c r="H100" s="24"/>
      <c r="I100" s="21">
        <f>G100*1128.79</f>
        <v>10159.11</v>
      </c>
      <c r="J100" s="24">
        <v>7294</v>
      </c>
      <c r="K100" s="94">
        <f t="shared" si="1"/>
        <v>0.11606697285440089</v>
      </c>
      <c r="L100" s="97"/>
    </row>
    <row r="101" spans="1:12" ht="17.25" customHeight="1">
      <c r="A101" s="33">
        <v>730</v>
      </c>
      <c r="B101" s="33" t="s">
        <v>39</v>
      </c>
      <c r="C101" s="34">
        <v>52</v>
      </c>
      <c r="D101" s="36" t="s">
        <v>40</v>
      </c>
      <c r="E101" s="36" t="s">
        <v>12</v>
      </c>
      <c r="F101" s="37" t="s">
        <v>41</v>
      </c>
      <c r="G101" s="24">
        <v>1</v>
      </c>
      <c r="H101" s="24">
        <v>12</v>
      </c>
      <c r="I101" s="21">
        <f>G101*94.57*H101</f>
        <v>1134.84</v>
      </c>
      <c r="J101" s="24">
        <v>7294</v>
      </c>
      <c r="K101" s="94">
        <f t="shared" si="1"/>
        <v>0.012965451055662188</v>
      </c>
      <c r="L101" s="97"/>
    </row>
    <row r="102" spans="1:12" ht="30.75" customHeight="1">
      <c r="A102" s="33"/>
      <c r="B102" s="33"/>
      <c r="C102" s="34">
        <v>53</v>
      </c>
      <c r="D102" s="36" t="s">
        <v>154</v>
      </c>
      <c r="E102" s="36" t="s">
        <v>69</v>
      </c>
      <c r="F102" s="37" t="s">
        <v>41</v>
      </c>
      <c r="G102" s="24"/>
      <c r="H102" s="24"/>
      <c r="I102" s="21">
        <f>G102*244</f>
        <v>0</v>
      </c>
      <c r="J102" s="24">
        <v>7294</v>
      </c>
      <c r="K102" s="94">
        <f t="shared" si="1"/>
        <v>0</v>
      </c>
      <c r="L102" s="97"/>
    </row>
    <row r="103" spans="1:12" ht="22.5">
      <c r="A103" s="33"/>
      <c r="B103" s="33"/>
      <c r="C103" s="34">
        <v>54</v>
      </c>
      <c r="D103" s="36" t="s">
        <v>155</v>
      </c>
      <c r="E103" s="36" t="s">
        <v>69</v>
      </c>
      <c r="F103" s="37" t="s">
        <v>124</v>
      </c>
      <c r="G103" s="24"/>
      <c r="H103" s="24"/>
      <c r="I103" s="21">
        <f>G103*256.11</f>
        <v>0</v>
      </c>
      <c r="J103" s="24">
        <v>7294</v>
      </c>
      <c r="K103" s="94">
        <f t="shared" si="1"/>
        <v>0</v>
      </c>
      <c r="L103" s="97"/>
    </row>
    <row r="104" spans="1:12" ht="45">
      <c r="A104" s="33"/>
      <c r="B104" s="33"/>
      <c r="C104" s="34">
        <v>55</v>
      </c>
      <c r="D104" s="36" t="s">
        <v>156</v>
      </c>
      <c r="E104" s="40" t="s">
        <v>123</v>
      </c>
      <c r="F104" s="37" t="s">
        <v>41</v>
      </c>
      <c r="G104" s="24">
        <v>1</v>
      </c>
      <c r="H104" s="24">
        <v>12</v>
      </c>
      <c r="I104" s="21">
        <f>G104*478.835*H104</f>
        <v>5746.0199999999995</v>
      </c>
      <c r="J104" s="24">
        <v>7294</v>
      </c>
      <c r="K104" s="94">
        <f t="shared" si="1"/>
        <v>0.06564779270633397</v>
      </c>
      <c r="L104" s="97"/>
    </row>
    <row r="105" spans="1:12" ht="12" customHeight="1">
      <c r="A105" s="102" t="s">
        <v>42</v>
      </c>
      <c r="B105" s="102"/>
      <c r="C105" s="103" t="s">
        <v>43</v>
      </c>
      <c r="D105" s="103"/>
      <c r="E105" s="103"/>
      <c r="F105" s="103"/>
      <c r="G105" s="103"/>
      <c r="H105" s="103"/>
      <c r="I105" s="32"/>
      <c r="J105" s="24"/>
      <c r="K105" s="94">
        <f t="shared" si="1"/>
        <v>0</v>
      </c>
      <c r="L105" s="97"/>
    </row>
    <row r="106" spans="1:12" ht="22.5">
      <c r="A106" s="30"/>
      <c r="B106" s="39"/>
      <c r="C106" s="24">
        <v>56</v>
      </c>
      <c r="D106" s="40" t="s">
        <v>157</v>
      </c>
      <c r="E106" s="40" t="s">
        <v>46</v>
      </c>
      <c r="F106" s="24" t="s">
        <v>60</v>
      </c>
      <c r="G106" s="100">
        <f>G11/1000</f>
        <v>0.9963</v>
      </c>
      <c r="H106" s="50">
        <v>4</v>
      </c>
      <c r="I106" s="21">
        <f>1.75036*G106*H106*1000</f>
        <v>6975.534672</v>
      </c>
      <c r="J106" s="24">
        <v>7294</v>
      </c>
      <c r="K106" s="94">
        <f t="shared" si="1"/>
        <v>0.07969489388538524</v>
      </c>
      <c r="L106" s="97"/>
    </row>
    <row r="107" spans="1:12" ht="29.25" customHeight="1">
      <c r="A107" s="33">
        <v>90</v>
      </c>
      <c r="B107" s="33" t="s">
        <v>44</v>
      </c>
      <c r="C107" s="34">
        <v>57</v>
      </c>
      <c r="D107" s="36" t="s">
        <v>45</v>
      </c>
      <c r="E107" s="36" t="s">
        <v>46</v>
      </c>
      <c r="F107" s="37" t="s">
        <v>47</v>
      </c>
      <c r="G107" s="52">
        <v>0.27</v>
      </c>
      <c r="H107" s="24">
        <v>4</v>
      </c>
      <c r="I107" s="21">
        <f>G107*H107*13764</f>
        <v>14865.12</v>
      </c>
      <c r="J107" s="24">
        <v>7294</v>
      </c>
      <c r="K107" s="94">
        <f t="shared" si="1"/>
        <v>0.16983273923772965</v>
      </c>
      <c r="L107" s="97"/>
    </row>
    <row r="108" spans="1:12" ht="29.25" customHeight="1">
      <c r="A108" s="33"/>
      <c r="B108" s="33"/>
      <c r="C108" s="24">
        <v>58</v>
      </c>
      <c r="D108" s="36" t="s">
        <v>158</v>
      </c>
      <c r="E108" s="36" t="s">
        <v>46</v>
      </c>
      <c r="F108" s="37" t="s">
        <v>159</v>
      </c>
      <c r="G108" s="52">
        <f>G11/1000</f>
        <v>0.9963</v>
      </c>
      <c r="H108" s="24">
        <v>4</v>
      </c>
      <c r="I108" s="21">
        <f>G108*H108*245.06</f>
        <v>976.613112</v>
      </c>
      <c r="J108" s="24">
        <v>7294</v>
      </c>
      <c r="K108" s="94">
        <f t="shared" si="1"/>
        <v>0.011157722237455444</v>
      </c>
      <c r="L108" s="97"/>
    </row>
    <row r="109" spans="1:12" ht="12.75" customHeight="1">
      <c r="A109" s="33">
        <v>92</v>
      </c>
      <c r="B109" s="33" t="s">
        <v>48</v>
      </c>
      <c r="C109" s="34">
        <v>59</v>
      </c>
      <c r="D109" s="36" t="s">
        <v>49</v>
      </c>
      <c r="E109" s="36" t="s">
        <v>46</v>
      </c>
      <c r="F109" s="37" t="s">
        <v>41</v>
      </c>
      <c r="G109" s="24">
        <v>1</v>
      </c>
      <c r="H109" s="24">
        <v>4</v>
      </c>
      <c r="I109" s="21">
        <f>2.3866*G109*H109*100</f>
        <v>954.64</v>
      </c>
      <c r="J109" s="24">
        <v>7294</v>
      </c>
      <c r="K109" s="94">
        <f t="shared" si="1"/>
        <v>0.010906681290558448</v>
      </c>
      <c r="L109" s="97"/>
    </row>
    <row r="110" spans="1:12" ht="12.75" customHeight="1">
      <c r="A110" s="33"/>
      <c r="B110" s="33"/>
      <c r="C110" s="24">
        <v>60</v>
      </c>
      <c r="D110" s="36" t="s">
        <v>230</v>
      </c>
      <c r="E110" s="36" t="s">
        <v>50</v>
      </c>
      <c r="F110" s="37" t="s">
        <v>54</v>
      </c>
      <c r="G110" s="24">
        <v>1145.8</v>
      </c>
      <c r="H110" s="24">
        <v>2</v>
      </c>
      <c r="I110" s="21">
        <f>G110*0.43764*H110</f>
        <v>1002.895824</v>
      </c>
      <c r="J110" s="24">
        <v>7294</v>
      </c>
      <c r="K110" s="94">
        <f t="shared" si="1"/>
        <v>0.011458</v>
      </c>
      <c r="L110" s="97"/>
    </row>
    <row r="111" spans="1:12" ht="28.5" customHeight="1">
      <c r="A111" s="33"/>
      <c r="B111" s="33"/>
      <c r="C111" s="34">
        <v>61</v>
      </c>
      <c r="D111" s="36" t="s">
        <v>160</v>
      </c>
      <c r="E111" s="36" t="s">
        <v>161</v>
      </c>
      <c r="F111" s="37" t="s">
        <v>60</v>
      </c>
      <c r="G111" s="52">
        <v>7.294</v>
      </c>
      <c r="H111" s="21">
        <v>1</v>
      </c>
      <c r="I111" s="21">
        <f>G111*2300</f>
        <v>16776.2</v>
      </c>
      <c r="J111" s="24">
        <v>7294</v>
      </c>
      <c r="K111" s="94">
        <f t="shared" si="1"/>
        <v>0.19166666666666665</v>
      </c>
      <c r="L111" s="97"/>
    </row>
    <row r="112" spans="1:12" ht="12" customHeight="1">
      <c r="A112" s="102" t="s">
        <v>51</v>
      </c>
      <c r="B112" s="102"/>
      <c r="C112" s="103" t="s">
        <v>52</v>
      </c>
      <c r="D112" s="103"/>
      <c r="E112" s="103"/>
      <c r="F112" s="103"/>
      <c r="G112" s="103"/>
      <c r="H112" s="103"/>
      <c r="I112" s="32"/>
      <c r="J112" s="24"/>
      <c r="K112" s="94">
        <f t="shared" si="1"/>
        <v>0</v>
      </c>
      <c r="L112" s="97"/>
    </row>
    <row r="113" spans="1:12" ht="23.25" customHeight="1">
      <c r="A113" s="33"/>
      <c r="B113" s="33"/>
      <c r="C113" s="34">
        <v>62</v>
      </c>
      <c r="D113" s="36" t="s">
        <v>204</v>
      </c>
      <c r="E113" s="36" t="s">
        <v>53</v>
      </c>
      <c r="F113" s="37" t="s">
        <v>54</v>
      </c>
      <c r="G113" s="62">
        <f>176.7</f>
        <v>176.7</v>
      </c>
      <c r="H113" s="24">
        <v>144</v>
      </c>
      <c r="I113" s="21">
        <f>1.58*G113*H113</f>
        <v>40202.784</v>
      </c>
      <c r="J113" s="24">
        <v>7294</v>
      </c>
      <c r="K113" s="94">
        <f t="shared" si="1"/>
        <v>0.4593134082807787</v>
      </c>
      <c r="L113" s="97"/>
    </row>
    <row r="114" spans="1:12" ht="22.5" customHeight="1">
      <c r="A114" s="33"/>
      <c r="B114" s="33"/>
      <c r="C114" s="34">
        <v>63</v>
      </c>
      <c r="D114" s="36" t="s">
        <v>244</v>
      </c>
      <c r="E114" s="36" t="s">
        <v>97</v>
      </c>
      <c r="F114" s="37" t="s">
        <v>54</v>
      </c>
      <c r="G114" s="24">
        <v>176.7</v>
      </c>
      <c r="H114" s="24">
        <v>12</v>
      </c>
      <c r="I114" s="21">
        <f>G114*H114*3.8</f>
        <v>8057.519999999999</v>
      </c>
      <c r="J114" s="24">
        <v>7294</v>
      </c>
      <c r="K114" s="94">
        <f t="shared" si="1"/>
        <v>0.0920564847820126</v>
      </c>
      <c r="L114" s="97"/>
    </row>
    <row r="115" spans="1:12" ht="12" customHeight="1">
      <c r="A115" s="33"/>
      <c r="B115" s="33"/>
      <c r="C115" s="34">
        <v>64</v>
      </c>
      <c r="D115" s="36" t="s">
        <v>241</v>
      </c>
      <c r="E115" s="36" t="s">
        <v>97</v>
      </c>
      <c r="F115" s="37" t="s">
        <v>54</v>
      </c>
      <c r="G115" s="62">
        <v>176.7</v>
      </c>
      <c r="H115" s="24">
        <v>12</v>
      </c>
      <c r="I115" s="21">
        <f>G115*H115*0.5</f>
        <v>1060.1999999999998</v>
      </c>
      <c r="J115" s="24">
        <v>7294</v>
      </c>
      <c r="K115" s="94">
        <f t="shared" si="1"/>
        <v>0.012112695366054289</v>
      </c>
      <c r="L115" s="97"/>
    </row>
    <row r="116" spans="1:12" ht="12" customHeight="1">
      <c r="A116" s="33"/>
      <c r="B116" s="33"/>
      <c r="C116" s="34">
        <v>65</v>
      </c>
      <c r="D116" s="36" t="s">
        <v>162</v>
      </c>
      <c r="E116" s="36" t="s">
        <v>53</v>
      </c>
      <c r="F116" s="37" t="s">
        <v>54</v>
      </c>
      <c r="G116" s="24">
        <f>8*3*4</f>
        <v>96</v>
      </c>
      <c r="H116" s="24">
        <v>12</v>
      </c>
      <c r="I116" s="21">
        <f>G116*H116*4.44</f>
        <v>5114.88</v>
      </c>
      <c r="J116" s="24">
        <v>7294</v>
      </c>
      <c r="K116" s="94">
        <f t="shared" si="1"/>
        <v>0.05843707156567041</v>
      </c>
      <c r="L116" s="97"/>
    </row>
    <row r="117" spans="1:12" ht="12" customHeight="1">
      <c r="A117" s="33"/>
      <c r="B117" s="33"/>
      <c r="C117" s="34">
        <v>67</v>
      </c>
      <c r="D117" s="36" t="s">
        <v>185</v>
      </c>
      <c r="E117" s="36" t="s">
        <v>186</v>
      </c>
      <c r="F117" s="37" t="s">
        <v>124</v>
      </c>
      <c r="G117" s="24">
        <f>90*2</f>
        <v>180</v>
      </c>
      <c r="H117" s="24">
        <v>12</v>
      </c>
      <c r="I117" s="21">
        <f>G117*H117*2.26</f>
        <v>4881.599999999999</v>
      </c>
      <c r="J117" s="24">
        <v>7294</v>
      </c>
      <c r="K117" s="94">
        <f t="shared" si="1"/>
        <v>0.055771867288182064</v>
      </c>
      <c r="L117" s="97"/>
    </row>
    <row r="118" spans="1:12" ht="12" customHeight="1">
      <c r="A118" s="33"/>
      <c r="B118" s="33"/>
      <c r="C118" s="34">
        <v>68</v>
      </c>
      <c r="D118" s="36" t="s">
        <v>187</v>
      </c>
      <c r="E118" s="36" t="s">
        <v>97</v>
      </c>
      <c r="F118" s="37" t="s">
        <v>112</v>
      </c>
      <c r="G118" s="24">
        <v>16</v>
      </c>
      <c r="H118" s="24">
        <v>12</v>
      </c>
      <c r="I118" s="21">
        <f>G118*H118*11.125</f>
        <v>2136</v>
      </c>
      <c r="J118" s="24">
        <v>7294</v>
      </c>
      <c r="K118" s="94">
        <f t="shared" si="1"/>
        <v>0.02440361941321634</v>
      </c>
      <c r="L118" s="97"/>
    </row>
    <row r="119" spans="1:12" ht="12" customHeight="1">
      <c r="A119" s="33"/>
      <c r="B119" s="33"/>
      <c r="C119" s="34">
        <v>69</v>
      </c>
      <c r="D119" s="36" t="s">
        <v>188</v>
      </c>
      <c r="E119" s="36" t="s">
        <v>97</v>
      </c>
      <c r="F119" s="37" t="s">
        <v>54</v>
      </c>
      <c r="G119" s="24">
        <v>5</v>
      </c>
      <c r="H119" s="24">
        <v>12</v>
      </c>
      <c r="I119" s="21">
        <f>G119*H119*165</f>
        <v>9900</v>
      </c>
      <c r="J119" s="24">
        <v>7294</v>
      </c>
      <c r="K119" s="94">
        <f t="shared" si="1"/>
        <v>0.11310666301069372</v>
      </c>
      <c r="L119" s="97"/>
    </row>
    <row r="120" spans="1:12" ht="12" customHeight="1">
      <c r="A120" s="33"/>
      <c r="B120" s="33"/>
      <c r="C120" s="34">
        <v>70</v>
      </c>
      <c r="D120" s="36" t="s">
        <v>163</v>
      </c>
      <c r="E120" s="36" t="s">
        <v>53</v>
      </c>
      <c r="F120" s="37" t="s">
        <v>124</v>
      </c>
      <c r="G120" s="24">
        <f>5*3*4</f>
        <v>60</v>
      </c>
      <c r="H120" s="24">
        <v>12</v>
      </c>
      <c r="I120" s="90">
        <f>G120*H120*95.7</f>
        <v>68904</v>
      </c>
      <c r="J120" s="24">
        <v>7294</v>
      </c>
      <c r="K120" s="94">
        <f t="shared" si="1"/>
        <v>0.7872223745544283</v>
      </c>
      <c r="L120" s="97"/>
    </row>
    <row r="121" spans="1:12" ht="12" customHeight="1">
      <c r="A121" s="33"/>
      <c r="B121" s="33"/>
      <c r="C121" s="34">
        <v>71</v>
      </c>
      <c r="D121" s="36" t="s">
        <v>164</v>
      </c>
      <c r="E121" s="36" t="s">
        <v>53</v>
      </c>
      <c r="F121" s="37" t="s">
        <v>41</v>
      </c>
      <c r="G121" s="24">
        <v>16</v>
      </c>
      <c r="H121" s="24">
        <v>12</v>
      </c>
      <c r="I121" s="90">
        <f>G121*H121*95.7</f>
        <v>18374.4</v>
      </c>
      <c r="J121" s="24">
        <v>7294</v>
      </c>
      <c r="K121" s="94">
        <f t="shared" si="1"/>
        <v>0.20992596654784756</v>
      </c>
      <c r="L121" s="97"/>
    </row>
    <row r="122" spans="1:12" ht="12" customHeight="1">
      <c r="A122" s="102" t="s">
        <v>55</v>
      </c>
      <c r="B122" s="102"/>
      <c r="C122" s="103" t="s">
        <v>56</v>
      </c>
      <c r="D122" s="103"/>
      <c r="E122" s="103"/>
      <c r="F122" s="103"/>
      <c r="G122" s="103"/>
      <c r="H122" s="103"/>
      <c r="I122" s="32"/>
      <c r="J122" s="24"/>
      <c r="K122" s="94">
        <f t="shared" si="1"/>
        <v>0</v>
      </c>
      <c r="L122" s="97"/>
    </row>
    <row r="123" spans="1:12" ht="21.75" customHeight="1">
      <c r="A123" s="33">
        <v>112</v>
      </c>
      <c r="B123" s="33" t="s">
        <v>57</v>
      </c>
      <c r="C123" s="34">
        <v>72</v>
      </c>
      <c r="D123" s="40" t="s">
        <v>58</v>
      </c>
      <c r="E123" s="40" t="s">
        <v>59</v>
      </c>
      <c r="F123" s="37" t="s">
        <v>54</v>
      </c>
      <c r="G123" s="62">
        <f>385.6*2*4</f>
        <v>3084.8</v>
      </c>
      <c r="H123" s="24">
        <v>60</v>
      </c>
      <c r="I123" s="21">
        <f>0.17*G123*H123</f>
        <v>31464.960000000003</v>
      </c>
      <c r="J123" s="24">
        <v>7294</v>
      </c>
      <c r="K123" s="94">
        <f t="shared" si="1"/>
        <v>0.35948450781464225</v>
      </c>
      <c r="L123" s="97"/>
    </row>
    <row r="124" spans="1:12" ht="12" customHeight="1">
      <c r="A124" s="33">
        <v>114</v>
      </c>
      <c r="B124" s="33" t="s">
        <v>61</v>
      </c>
      <c r="C124" s="34">
        <v>73</v>
      </c>
      <c r="D124" s="36" t="s">
        <v>62</v>
      </c>
      <c r="E124" s="36" t="s">
        <v>59</v>
      </c>
      <c r="F124" s="37" t="s">
        <v>54</v>
      </c>
      <c r="G124" s="21">
        <v>80</v>
      </c>
      <c r="H124" s="24">
        <v>60</v>
      </c>
      <c r="I124" s="21">
        <f>1.24*G124*H124</f>
        <v>5952</v>
      </c>
      <c r="J124" s="24">
        <v>7294</v>
      </c>
      <c r="K124" s="94">
        <f t="shared" si="1"/>
        <v>0.06800109679188374</v>
      </c>
      <c r="L124" s="97"/>
    </row>
    <row r="125" spans="1:12" ht="12" customHeight="1">
      <c r="A125" s="33">
        <v>121</v>
      </c>
      <c r="B125" s="33" t="s">
        <v>63</v>
      </c>
      <c r="C125" s="34">
        <v>74</v>
      </c>
      <c r="D125" s="51" t="s">
        <v>192</v>
      </c>
      <c r="E125" s="36" t="s">
        <v>53</v>
      </c>
      <c r="F125" s="37" t="s">
        <v>54</v>
      </c>
      <c r="G125" s="62">
        <v>3348</v>
      </c>
      <c r="H125" s="21">
        <v>60</v>
      </c>
      <c r="I125" s="21">
        <f>0.11*G125*H125</f>
        <v>22096.800000000003</v>
      </c>
      <c r="J125" s="24">
        <v>7294</v>
      </c>
      <c r="K125" s="94">
        <f t="shared" si="1"/>
        <v>0.25245407183986845</v>
      </c>
      <c r="L125" s="97"/>
    </row>
    <row r="126" spans="1:12" ht="20.25" customHeight="1">
      <c r="A126" s="33">
        <v>122</v>
      </c>
      <c r="B126" s="33" t="s">
        <v>64</v>
      </c>
      <c r="C126" s="34">
        <v>75</v>
      </c>
      <c r="D126" s="36" t="s">
        <v>193</v>
      </c>
      <c r="E126" s="36" t="s">
        <v>165</v>
      </c>
      <c r="F126" s="37" t="s">
        <v>54</v>
      </c>
      <c r="G126" s="24">
        <v>3348</v>
      </c>
      <c r="H126" s="24">
        <v>2</v>
      </c>
      <c r="I126" s="21">
        <f>1.44*G126*H12</f>
        <v>4821.12</v>
      </c>
      <c r="J126" s="24">
        <v>7294</v>
      </c>
      <c r="K126" s="94">
        <f t="shared" si="1"/>
        <v>0.05508088840142583</v>
      </c>
      <c r="L126" s="97"/>
    </row>
    <row r="127" spans="1:12" ht="12" customHeight="1">
      <c r="A127" s="33"/>
      <c r="B127" s="33"/>
      <c r="C127" s="34">
        <v>76</v>
      </c>
      <c r="D127" s="36" t="s">
        <v>74</v>
      </c>
      <c r="E127" s="36" t="s">
        <v>166</v>
      </c>
      <c r="F127" s="37" t="s">
        <v>54</v>
      </c>
      <c r="G127" s="24">
        <f>6*2*4</f>
        <v>48</v>
      </c>
      <c r="H127" s="24">
        <v>48</v>
      </c>
      <c r="I127" s="21">
        <f>G127*48*1.44</f>
        <v>3317.7599999999998</v>
      </c>
      <c r="J127" s="24">
        <v>7294</v>
      </c>
      <c r="K127" s="94">
        <f t="shared" si="1"/>
        <v>0.037905127502056477</v>
      </c>
      <c r="L127" s="97"/>
    </row>
    <row r="128" spans="1:12" ht="12" customHeight="1">
      <c r="A128" s="33"/>
      <c r="B128" s="33"/>
      <c r="C128" s="34">
        <v>77</v>
      </c>
      <c r="D128" s="36" t="s">
        <v>76</v>
      </c>
      <c r="E128" s="36" t="s">
        <v>50</v>
      </c>
      <c r="F128" s="37" t="s">
        <v>54</v>
      </c>
      <c r="G128" s="62">
        <f>G125</f>
        <v>3348</v>
      </c>
      <c r="H128" s="24">
        <v>2</v>
      </c>
      <c r="I128" s="21">
        <f>1.1204*G128*H128</f>
        <v>7502.1984</v>
      </c>
      <c r="J128" s="24">
        <v>7294</v>
      </c>
      <c r="K128" s="94">
        <f t="shared" si="1"/>
        <v>0.08571198245132987</v>
      </c>
      <c r="L128" s="97"/>
    </row>
    <row r="129" spans="1:12" ht="12" customHeight="1">
      <c r="A129" s="33"/>
      <c r="B129" s="33"/>
      <c r="C129" s="34">
        <v>78</v>
      </c>
      <c r="D129" s="36" t="s">
        <v>77</v>
      </c>
      <c r="E129" s="48" t="s">
        <v>50</v>
      </c>
      <c r="F129" s="37" t="s">
        <v>54</v>
      </c>
      <c r="G129" s="24"/>
      <c r="H129" s="24">
        <v>2</v>
      </c>
      <c r="I129" s="21">
        <f>I128*0.2</f>
        <v>1500.4396800000002</v>
      </c>
      <c r="J129" s="24">
        <v>7294</v>
      </c>
      <c r="K129" s="94">
        <f t="shared" si="1"/>
        <v>0.017142396490265974</v>
      </c>
      <c r="L129" s="97"/>
    </row>
    <row r="130" spans="1:12" ht="12" customHeight="1">
      <c r="A130" s="33"/>
      <c r="B130" s="33"/>
      <c r="C130" s="34">
        <v>79</v>
      </c>
      <c r="D130" s="36" t="s">
        <v>167</v>
      </c>
      <c r="E130" s="48" t="s">
        <v>25</v>
      </c>
      <c r="F130" s="53" t="s">
        <v>78</v>
      </c>
      <c r="G130" s="24">
        <v>10</v>
      </c>
      <c r="H130" s="24">
        <v>5</v>
      </c>
      <c r="I130" s="21">
        <f>G130*H130*102</f>
        <v>5100</v>
      </c>
      <c r="J130" s="24">
        <v>7294</v>
      </c>
      <c r="K130" s="94">
        <f t="shared" si="1"/>
        <v>0.058267068823690704</v>
      </c>
      <c r="L130" s="97"/>
    </row>
    <row r="131" spans="1:12" ht="12" customHeight="1">
      <c r="A131" s="33"/>
      <c r="B131" s="33"/>
      <c r="C131" s="34">
        <v>80</v>
      </c>
      <c r="D131" s="56" t="s">
        <v>243</v>
      </c>
      <c r="E131" s="48" t="s">
        <v>25</v>
      </c>
      <c r="F131" s="53" t="s">
        <v>54</v>
      </c>
      <c r="G131" s="24">
        <v>12</v>
      </c>
      <c r="H131" s="24">
        <v>156</v>
      </c>
      <c r="I131" s="21">
        <f>G131*H131*2.04</f>
        <v>3818.88</v>
      </c>
      <c r="J131" s="24">
        <v>7294</v>
      </c>
      <c r="K131" s="94">
        <f t="shared" si="1"/>
        <v>0.0436303811351796</v>
      </c>
      <c r="L131" s="97"/>
    </row>
    <row r="132" spans="1:12" ht="22.5">
      <c r="A132" s="54"/>
      <c r="B132" s="55"/>
      <c r="C132" s="34">
        <v>81</v>
      </c>
      <c r="D132" s="56" t="s">
        <v>168</v>
      </c>
      <c r="E132" s="56" t="s">
        <v>59</v>
      </c>
      <c r="F132" s="37" t="s">
        <v>54</v>
      </c>
      <c r="G132" s="24">
        <v>1160</v>
      </c>
      <c r="H132" s="24">
        <v>12</v>
      </c>
      <c r="I132" s="21">
        <f>G132*H132*1.599</f>
        <v>22258.079999999998</v>
      </c>
      <c r="J132" s="24">
        <v>7294</v>
      </c>
      <c r="K132" s="94">
        <f t="shared" si="1"/>
        <v>0.25429668220455165</v>
      </c>
      <c r="L132" s="97"/>
    </row>
    <row r="133" spans="1:12" ht="12" customHeight="1">
      <c r="A133" s="102"/>
      <c r="B133" s="102"/>
      <c r="C133" s="103" t="s">
        <v>65</v>
      </c>
      <c r="D133" s="103"/>
      <c r="E133" s="103"/>
      <c r="F133" s="103"/>
      <c r="G133" s="103"/>
      <c r="H133" s="103"/>
      <c r="I133" s="32"/>
      <c r="J133" s="24"/>
      <c r="K133" s="94"/>
      <c r="L133" s="97"/>
    </row>
    <row r="134" spans="1:12" ht="23.25" customHeight="1">
      <c r="A134" s="33">
        <v>125</v>
      </c>
      <c r="B134" s="33" t="s">
        <v>66</v>
      </c>
      <c r="C134" s="34">
        <v>82</v>
      </c>
      <c r="D134" s="40" t="s">
        <v>169</v>
      </c>
      <c r="E134" s="40" t="s">
        <v>170</v>
      </c>
      <c r="F134" s="37" t="s">
        <v>54</v>
      </c>
      <c r="G134" s="24">
        <f>385.6</f>
        <v>385.6</v>
      </c>
      <c r="H134" s="24">
        <v>36</v>
      </c>
      <c r="I134" s="21">
        <f>1.16*G134*H134</f>
        <v>16102.655999999999</v>
      </c>
      <c r="J134" s="24">
        <v>7294</v>
      </c>
      <c r="K134" s="94">
        <f t="shared" si="1"/>
        <v>0.18397148341102273</v>
      </c>
      <c r="L134" s="97"/>
    </row>
    <row r="135" spans="1:12" ht="16.5" customHeight="1">
      <c r="A135" s="33">
        <v>132</v>
      </c>
      <c r="B135" s="33" t="s">
        <v>67</v>
      </c>
      <c r="C135" s="34">
        <v>83</v>
      </c>
      <c r="D135" s="40" t="s">
        <v>171</v>
      </c>
      <c r="E135" s="40" t="s">
        <v>170</v>
      </c>
      <c r="F135" s="37" t="s">
        <v>54</v>
      </c>
      <c r="G135" s="24">
        <f>G134</f>
        <v>385.6</v>
      </c>
      <c r="H135" s="21">
        <v>36</v>
      </c>
      <c r="I135" s="21">
        <f>G135*H135*1.14</f>
        <v>15825.024</v>
      </c>
      <c r="J135" s="24">
        <v>7294</v>
      </c>
      <c r="K135" s="94">
        <f t="shared" si="1"/>
        <v>0.1807995612832465</v>
      </c>
      <c r="L135" s="97"/>
    </row>
    <row r="136" spans="1:12" ht="21" customHeight="1">
      <c r="A136" s="54"/>
      <c r="B136" s="55" t="s">
        <v>68</v>
      </c>
      <c r="C136" s="34">
        <v>84</v>
      </c>
      <c r="D136" s="56" t="s">
        <v>79</v>
      </c>
      <c r="E136" s="56" t="s">
        <v>172</v>
      </c>
      <c r="F136" s="37" t="s">
        <v>54</v>
      </c>
      <c r="G136" s="24">
        <f>385.6</f>
        <v>385.6</v>
      </c>
      <c r="H136" s="21">
        <v>24</v>
      </c>
      <c r="I136" s="21">
        <f>G136*H136*3.56</f>
        <v>32945.664000000004</v>
      </c>
      <c r="J136" s="24">
        <v>7294</v>
      </c>
      <c r="K136" s="94">
        <f t="shared" si="1"/>
        <v>0.3764014258294489</v>
      </c>
      <c r="L136" s="97"/>
    </row>
    <row r="137" spans="1:12" ht="22.5" customHeight="1">
      <c r="A137" s="54"/>
      <c r="B137" s="55"/>
      <c r="C137" s="34">
        <v>85</v>
      </c>
      <c r="D137" s="56" t="s">
        <v>173</v>
      </c>
      <c r="E137" s="56" t="s">
        <v>25</v>
      </c>
      <c r="F137" s="37" t="s">
        <v>54</v>
      </c>
      <c r="G137" s="57">
        <v>385.6</v>
      </c>
      <c r="H137" s="57">
        <v>7</v>
      </c>
      <c r="I137" s="58">
        <f>G137*H137*0.36</f>
        <v>971.7120000000001</v>
      </c>
      <c r="J137" s="24">
        <v>7294</v>
      </c>
      <c r="K137" s="94">
        <f aca="true" t="shared" si="2" ref="K137:K153">I137/12/7294</f>
        <v>0.011101727447216892</v>
      </c>
      <c r="L137" s="97"/>
    </row>
    <row r="138" spans="1:12" ht="22.5" customHeight="1">
      <c r="A138" s="54"/>
      <c r="B138" s="55"/>
      <c r="C138" s="34">
        <v>86</v>
      </c>
      <c r="D138" s="56" t="s">
        <v>243</v>
      </c>
      <c r="E138" s="56" t="s">
        <v>25</v>
      </c>
      <c r="F138" s="37" t="s">
        <v>54</v>
      </c>
      <c r="G138" s="57">
        <v>12</v>
      </c>
      <c r="H138" s="57">
        <v>156</v>
      </c>
      <c r="I138" s="58">
        <f>5.09*G138*H138</f>
        <v>9528.48</v>
      </c>
      <c r="J138" s="24">
        <v>7294</v>
      </c>
      <c r="K138" s="94">
        <f t="shared" si="2"/>
        <v>0.10886207842061968</v>
      </c>
      <c r="L138" s="97"/>
    </row>
    <row r="139" spans="1:12" ht="22.5" customHeight="1">
      <c r="A139" s="54"/>
      <c r="B139" s="55"/>
      <c r="C139" s="34">
        <v>87</v>
      </c>
      <c r="D139" s="56" t="s">
        <v>174</v>
      </c>
      <c r="E139" s="56" t="s">
        <v>170</v>
      </c>
      <c r="F139" s="37" t="s">
        <v>54</v>
      </c>
      <c r="G139" s="24">
        <v>1160</v>
      </c>
      <c r="H139" s="24">
        <v>12</v>
      </c>
      <c r="I139" s="21">
        <f>G139*H139*2.5</f>
        <v>34800</v>
      </c>
      <c r="J139" s="24">
        <v>7294</v>
      </c>
      <c r="K139" s="94">
        <f t="shared" si="2"/>
        <v>0.39758705785577186</v>
      </c>
      <c r="L139" s="97"/>
    </row>
    <row r="140" spans="1:12" ht="12" customHeight="1">
      <c r="A140" s="39"/>
      <c r="B140" s="59"/>
      <c r="C140" s="105" t="s">
        <v>80</v>
      </c>
      <c r="D140" s="105"/>
      <c r="E140" s="105"/>
      <c r="F140" s="105"/>
      <c r="G140" s="105"/>
      <c r="H140" s="105"/>
      <c r="I140" s="60"/>
      <c r="J140" s="24"/>
      <c r="K140" s="94"/>
      <c r="L140" s="97"/>
    </row>
    <row r="141" spans="1:12" ht="12" customHeight="1">
      <c r="A141" s="39"/>
      <c r="B141" s="59"/>
      <c r="C141" s="34">
        <v>88</v>
      </c>
      <c r="D141" s="61" t="s">
        <v>75</v>
      </c>
      <c r="E141" s="28" t="s">
        <v>50</v>
      </c>
      <c r="F141" s="24" t="s">
        <v>21</v>
      </c>
      <c r="G141" s="52">
        <v>20.72</v>
      </c>
      <c r="H141" s="21">
        <v>3</v>
      </c>
      <c r="I141" s="21">
        <f>3033/8.3232*G141</f>
        <v>7550.432525951556</v>
      </c>
      <c r="J141" s="24">
        <v>7294</v>
      </c>
      <c r="K141" s="94">
        <f t="shared" si="2"/>
        <v>0.0862630532624024</v>
      </c>
      <c r="L141" s="97"/>
    </row>
    <row r="142" spans="1:12" ht="21.75" customHeight="1">
      <c r="A142" s="39"/>
      <c r="B142" s="59"/>
      <c r="C142" s="34">
        <v>89</v>
      </c>
      <c r="D142" s="28" t="s">
        <v>175</v>
      </c>
      <c r="E142" s="28" t="s">
        <v>176</v>
      </c>
      <c r="F142" s="24" t="s">
        <v>78</v>
      </c>
      <c r="G142" s="21">
        <v>10</v>
      </c>
      <c r="H142" s="21">
        <v>6</v>
      </c>
      <c r="I142" s="21">
        <f>G142*H142*102</f>
        <v>6120</v>
      </c>
      <c r="J142" s="24">
        <v>7294</v>
      </c>
      <c r="K142" s="94">
        <f t="shared" si="2"/>
        <v>0.06992048258842884</v>
      </c>
      <c r="L142" s="97"/>
    </row>
    <row r="143" spans="1:12" ht="22.5">
      <c r="A143" s="39"/>
      <c r="B143" s="59"/>
      <c r="C143" s="34">
        <v>90</v>
      </c>
      <c r="D143" s="28" t="s">
        <v>177</v>
      </c>
      <c r="E143" s="36" t="s">
        <v>69</v>
      </c>
      <c r="F143" s="24"/>
      <c r="G143" s="21"/>
      <c r="H143" s="21"/>
      <c r="I143" s="21"/>
      <c r="J143" s="24">
        <v>7294</v>
      </c>
      <c r="K143" s="94">
        <f t="shared" si="2"/>
        <v>0</v>
      </c>
      <c r="L143" s="97"/>
    </row>
    <row r="144" spans="1:12" ht="21" customHeight="1">
      <c r="A144" s="39"/>
      <c r="B144" s="59"/>
      <c r="C144" s="34">
        <v>91</v>
      </c>
      <c r="D144" s="28" t="s">
        <v>178</v>
      </c>
      <c r="E144" s="28" t="s">
        <v>176</v>
      </c>
      <c r="F144" s="24" t="s">
        <v>73</v>
      </c>
      <c r="G144" s="21">
        <v>9</v>
      </c>
      <c r="H144" s="21"/>
      <c r="I144" s="21">
        <f>G144*255*10</f>
        <v>22950</v>
      </c>
      <c r="J144" s="24">
        <v>7294</v>
      </c>
      <c r="K144" s="94">
        <f t="shared" si="2"/>
        <v>0.26220180970660817</v>
      </c>
      <c r="L144" s="97"/>
    </row>
    <row r="145" spans="1:12" ht="20.25" customHeight="1">
      <c r="A145" s="39"/>
      <c r="B145" s="59"/>
      <c r="C145" s="34">
        <v>92</v>
      </c>
      <c r="D145" s="28" t="s">
        <v>189</v>
      </c>
      <c r="E145" s="28" t="s">
        <v>176</v>
      </c>
      <c r="F145" s="24" t="s">
        <v>112</v>
      </c>
      <c r="G145" s="21"/>
      <c r="H145" s="21"/>
      <c r="I145" s="21">
        <f>G145*H145*820.757</f>
        <v>0</v>
      </c>
      <c r="J145" s="24">
        <v>7294</v>
      </c>
      <c r="K145" s="94">
        <f t="shared" si="2"/>
        <v>0</v>
      </c>
      <c r="L145" s="97"/>
    </row>
    <row r="146" spans="1:12" ht="20.25" customHeight="1">
      <c r="A146" s="39"/>
      <c r="B146" s="59"/>
      <c r="C146" s="34">
        <v>93</v>
      </c>
      <c r="D146" s="28" t="s">
        <v>190</v>
      </c>
      <c r="E146" s="28" t="s">
        <v>176</v>
      </c>
      <c r="F146" s="24" t="s">
        <v>54</v>
      </c>
      <c r="G146" s="62">
        <v>12</v>
      </c>
      <c r="H146" s="21">
        <v>1</v>
      </c>
      <c r="I146" s="21">
        <f>G146*H146*373.331</f>
        <v>4479.972</v>
      </c>
      <c r="J146" s="24">
        <v>7294</v>
      </c>
      <c r="K146" s="94">
        <f t="shared" si="2"/>
        <v>0.051183301343570055</v>
      </c>
      <c r="L146" s="97"/>
    </row>
    <row r="147" spans="1:12" ht="26.25" customHeight="1">
      <c r="A147" s="39"/>
      <c r="B147" s="59"/>
      <c r="C147" s="34">
        <v>94</v>
      </c>
      <c r="D147" s="28" t="s">
        <v>201</v>
      </c>
      <c r="E147" s="28" t="s">
        <v>176</v>
      </c>
      <c r="F147" s="24" t="s">
        <v>41</v>
      </c>
      <c r="G147" s="62"/>
      <c r="H147" s="21"/>
      <c r="I147" s="21">
        <f>G147*979</f>
        <v>0</v>
      </c>
      <c r="J147" s="24">
        <v>7294</v>
      </c>
      <c r="K147" s="94">
        <f t="shared" si="2"/>
        <v>0</v>
      </c>
      <c r="L147" s="97"/>
    </row>
    <row r="148" spans="1:12" ht="21" customHeight="1">
      <c r="A148" s="39"/>
      <c r="B148" s="59"/>
      <c r="C148" s="34">
        <v>95</v>
      </c>
      <c r="D148" s="28" t="s">
        <v>198</v>
      </c>
      <c r="E148" s="28" t="s">
        <v>176</v>
      </c>
      <c r="F148" s="24" t="s">
        <v>124</v>
      </c>
      <c r="G148" s="62"/>
      <c r="H148" s="21"/>
      <c r="I148" s="21">
        <f>G148*365.11</f>
        <v>0</v>
      </c>
      <c r="J148" s="24">
        <v>7294</v>
      </c>
      <c r="K148" s="94">
        <f t="shared" si="2"/>
        <v>0</v>
      </c>
      <c r="L148" s="97"/>
    </row>
    <row r="149" spans="1:12" ht="21.75" customHeight="1">
      <c r="A149" s="39"/>
      <c r="B149" s="59" t="s">
        <v>199</v>
      </c>
      <c r="C149" s="34">
        <v>96</v>
      </c>
      <c r="D149" s="28" t="s">
        <v>200</v>
      </c>
      <c r="E149" s="28" t="s">
        <v>176</v>
      </c>
      <c r="F149" s="24" t="s">
        <v>124</v>
      </c>
      <c r="G149" s="62">
        <v>4</v>
      </c>
      <c r="H149" s="21"/>
      <c r="I149" s="21">
        <f>G149*395.78</f>
        <v>1583.12</v>
      </c>
      <c r="J149" s="24">
        <v>7294</v>
      </c>
      <c r="K149" s="94">
        <f t="shared" si="2"/>
        <v>0.01808701215611004</v>
      </c>
      <c r="L149" s="97"/>
    </row>
    <row r="150" spans="1:12" ht="21.75" customHeight="1">
      <c r="A150" s="39"/>
      <c r="B150" s="59"/>
      <c r="C150" s="34">
        <v>97</v>
      </c>
      <c r="D150" s="28" t="s">
        <v>228</v>
      </c>
      <c r="E150" s="28" t="s">
        <v>176</v>
      </c>
      <c r="F150" s="24" t="s">
        <v>54</v>
      </c>
      <c r="G150" s="62"/>
      <c r="H150" s="21"/>
      <c r="I150" s="21">
        <f>G150*12.58</f>
        <v>0</v>
      </c>
      <c r="J150" s="24">
        <v>7294</v>
      </c>
      <c r="K150" s="94">
        <f t="shared" si="2"/>
        <v>0</v>
      </c>
      <c r="L150" s="97"/>
    </row>
    <row r="151" spans="1:12" ht="20.25" customHeight="1">
      <c r="A151" s="39"/>
      <c r="B151" s="59"/>
      <c r="C151" s="34">
        <v>98</v>
      </c>
      <c r="D151" s="28" t="s">
        <v>205</v>
      </c>
      <c r="E151" s="28" t="s">
        <v>176</v>
      </c>
      <c r="F151" s="24" t="s">
        <v>54</v>
      </c>
      <c r="G151" s="62"/>
      <c r="H151" s="21"/>
      <c r="I151" s="21">
        <f>G151*108.3*H151</f>
        <v>0</v>
      </c>
      <c r="J151" s="24">
        <v>7294</v>
      </c>
      <c r="K151" s="94">
        <f t="shared" si="2"/>
        <v>0</v>
      </c>
      <c r="L151" s="97"/>
    </row>
    <row r="152" spans="1:12" ht="30.75" customHeight="1">
      <c r="A152" s="39"/>
      <c r="B152" s="59"/>
      <c r="C152" s="34">
        <v>99</v>
      </c>
      <c r="D152" s="28" t="s">
        <v>206</v>
      </c>
      <c r="E152" s="28" t="s">
        <v>176</v>
      </c>
      <c r="F152" s="24" t="s">
        <v>54</v>
      </c>
      <c r="G152" s="62"/>
      <c r="H152" s="21"/>
      <c r="I152" s="21">
        <f>G152*139*H152</f>
        <v>0</v>
      </c>
      <c r="J152" s="24">
        <v>7294</v>
      </c>
      <c r="K152" s="94">
        <f t="shared" si="2"/>
        <v>0</v>
      </c>
      <c r="L152" s="97"/>
    </row>
    <row r="153" spans="1:12" ht="30.75" customHeight="1">
      <c r="A153" s="39"/>
      <c r="B153" s="59"/>
      <c r="C153" s="34">
        <v>100</v>
      </c>
      <c r="D153" s="28" t="s">
        <v>242</v>
      </c>
      <c r="E153" s="28" t="s">
        <v>176</v>
      </c>
      <c r="F153" s="24"/>
      <c r="G153" s="62"/>
      <c r="H153" s="21"/>
      <c r="I153" s="21">
        <v>183546</v>
      </c>
      <c r="J153" s="24">
        <v>7294</v>
      </c>
      <c r="K153" s="94">
        <f t="shared" si="2"/>
        <v>2.0969975322182615</v>
      </c>
      <c r="L153" s="97"/>
    </row>
    <row r="154" spans="1:14" s="66" customFormat="1" ht="12" customHeight="1">
      <c r="A154" s="63"/>
      <c r="B154" s="101" t="s">
        <v>179</v>
      </c>
      <c r="C154" s="101"/>
      <c r="D154" s="101"/>
      <c r="E154" s="28"/>
      <c r="F154" s="24"/>
      <c r="G154" s="64"/>
      <c r="H154" s="64"/>
      <c r="I154" s="21">
        <f>SUM(I6:I146)</f>
        <v>1727413.8542139526</v>
      </c>
      <c r="J154" s="21"/>
      <c r="K154" s="95">
        <f>SUM(K6:K151)</f>
        <v>19.75364425342692</v>
      </c>
      <c r="L154" s="98"/>
      <c r="N154" s="66">
        <v>19.75</v>
      </c>
    </row>
    <row r="155" spans="1:12" s="66" customFormat="1" ht="12" customHeight="1">
      <c r="A155" s="63"/>
      <c r="B155" s="67"/>
      <c r="C155" s="68"/>
      <c r="D155" s="69" t="s">
        <v>180</v>
      </c>
      <c r="E155" s="28"/>
      <c r="F155" s="24"/>
      <c r="G155" s="64"/>
      <c r="H155" s="64"/>
      <c r="I155" s="64"/>
      <c r="J155" s="64"/>
      <c r="K155" s="95"/>
      <c r="L155" s="98"/>
    </row>
    <row r="156" spans="1:12" s="66" customFormat="1" ht="12" customHeight="1">
      <c r="A156" s="63"/>
      <c r="B156" s="67"/>
      <c r="C156" s="68"/>
      <c r="D156" s="69" t="s">
        <v>70</v>
      </c>
      <c r="E156" s="65"/>
      <c r="F156" s="24"/>
      <c r="G156" s="64"/>
      <c r="H156" s="64"/>
      <c r="I156" s="64"/>
      <c r="J156" s="64"/>
      <c r="K156" s="95">
        <f>K154-K157-K158-K159</f>
        <v>13.98364425342692</v>
      </c>
      <c r="L156" s="98"/>
    </row>
    <row r="157" spans="1:12" s="66" customFormat="1" ht="12" customHeight="1">
      <c r="A157" s="63"/>
      <c r="B157" s="67"/>
      <c r="C157" s="68"/>
      <c r="D157" s="70" t="s">
        <v>181</v>
      </c>
      <c r="E157" s="65"/>
      <c r="F157" s="24"/>
      <c r="G157" s="64"/>
      <c r="H157" s="64"/>
      <c r="I157" s="64"/>
      <c r="J157" s="64"/>
      <c r="K157" s="95">
        <v>1.5</v>
      </c>
      <c r="L157" s="98"/>
    </row>
    <row r="158" spans="1:12" ht="12" customHeight="1">
      <c r="A158" s="39"/>
      <c r="B158" s="59"/>
      <c r="C158" s="24"/>
      <c r="D158" s="28" t="s">
        <v>182</v>
      </c>
      <c r="E158" s="28"/>
      <c r="F158" s="24"/>
      <c r="G158" s="71"/>
      <c r="H158" s="71"/>
      <c r="I158" s="21"/>
      <c r="J158" s="21"/>
      <c r="K158" s="96">
        <v>3.03</v>
      </c>
      <c r="L158" s="97"/>
    </row>
    <row r="159" spans="1:12" ht="12" customHeight="1">
      <c r="A159" s="39"/>
      <c r="B159" s="59"/>
      <c r="C159" s="24"/>
      <c r="D159" s="28" t="s">
        <v>90</v>
      </c>
      <c r="E159" s="28"/>
      <c r="F159" s="24"/>
      <c r="G159" s="71"/>
      <c r="H159" s="71"/>
      <c r="I159" s="21"/>
      <c r="J159" s="21"/>
      <c r="K159" s="96">
        <v>1.24</v>
      </c>
      <c r="L159" s="97"/>
    </row>
    <row r="160" spans="1:11" ht="15.75">
      <c r="A160" s="72"/>
      <c r="B160" s="73"/>
      <c r="C160" s="74"/>
      <c r="D160" s="75"/>
      <c r="E160" s="75"/>
      <c r="F160" s="74"/>
      <c r="G160" s="76"/>
      <c r="H160" s="76"/>
      <c r="I160" s="77"/>
      <c r="J160" s="77"/>
      <c r="K160" s="14"/>
    </row>
    <row r="161" spans="1:11" ht="15.75">
      <c r="A161" s="7"/>
      <c r="B161" s="3"/>
      <c r="C161" s="8"/>
      <c r="D161" s="78"/>
      <c r="E161" s="78"/>
      <c r="F161" s="8"/>
      <c r="G161" s="10"/>
      <c r="H161" s="10"/>
      <c r="I161" s="11">
        <f>115857.3*12</f>
        <v>1390287.6</v>
      </c>
      <c r="J161" s="11"/>
      <c r="K161" s="9"/>
    </row>
    <row r="162" spans="3:11" ht="15.75">
      <c r="C162" s="8"/>
      <c r="D162" s="78"/>
      <c r="E162" s="78"/>
      <c r="F162" s="8"/>
      <c r="G162" s="10"/>
      <c r="H162" s="10"/>
      <c r="I162" s="11"/>
      <c r="J162" s="11"/>
      <c r="K162" s="9"/>
    </row>
    <row r="163" spans="3:11" ht="15.75">
      <c r="C163" s="8"/>
      <c r="D163" s="78" t="s">
        <v>183</v>
      </c>
      <c r="E163" s="78"/>
      <c r="F163" s="8"/>
      <c r="G163" s="10"/>
      <c r="H163" s="10" t="s">
        <v>184</v>
      </c>
      <c r="I163" s="11"/>
      <c r="J163" s="11"/>
      <c r="K163" s="9"/>
    </row>
    <row r="164" spans="3:10" ht="15.75">
      <c r="C164" s="2"/>
      <c r="D164" s="79"/>
      <c r="E164" s="79"/>
      <c r="F164" s="2"/>
      <c r="G164" s="80"/>
      <c r="H164" s="80"/>
      <c r="I164" s="81"/>
      <c r="J164" s="81"/>
    </row>
    <row r="165" spans="3:10" ht="15.75">
      <c r="C165" s="2"/>
      <c r="D165" s="79"/>
      <c r="E165" s="79"/>
      <c r="F165" s="82"/>
      <c r="G165" s="80"/>
      <c r="H165" s="80"/>
      <c r="I165" s="81"/>
      <c r="J165" s="81"/>
    </row>
    <row r="166" spans="3:10" ht="15.75">
      <c r="C166" s="2"/>
      <c r="D166" s="79"/>
      <c r="E166" s="79"/>
      <c r="F166" s="2"/>
      <c r="G166" s="80"/>
      <c r="H166" s="80"/>
      <c r="I166" s="81"/>
      <c r="J166" s="81"/>
    </row>
    <row r="167" spans="3:10" ht="15.75">
      <c r="C167" s="2"/>
      <c r="D167" s="79"/>
      <c r="E167" s="79"/>
      <c r="F167" s="2"/>
      <c r="G167" s="80"/>
      <c r="H167" s="80"/>
      <c r="I167" s="81"/>
      <c r="J167" s="81"/>
    </row>
    <row r="168" spans="3:10" ht="15.75">
      <c r="C168" s="2"/>
      <c r="D168" s="79"/>
      <c r="E168" s="79"/>
      <c r="F168" s="2"/>
      <c r="G168" s="80"/>
      <c r="H168" s="80"/>
      <c r="I168" s="81"/>
      <c r="J168" s="81"/>
    </row>
    <row r="169" spans="3:10" ht="15.75">
      <c r="C169" s="2"/>
      <c r="D169" s="79"/>
      <c r="E169" s="79"/>
      <c r="F169" s="2"/>
      <c r="G169" s="80"/>
      <c r="H169" s="80"/>
      <c r="I169" s="81"/>
      <c r="J169" s="81"/>
    </row>
    <row r="170" spans="3:10" ht="15.75">
      <c r="C170" s="2"/>
      <c r="D170" s="79"/>
      <c r="E170" s="79"/>
      <c r="F170" s="2"/>
      <c r="G170" s="80"/>
      <c r="H170" s="80"/>
      <c r="I170" s="81"/>
      <c r="J170" s="81"/>
    </row>
    <row r="171" spans="3:10" ht="15.75">
      <c r="C171" s="2"/>
      <c r="D171" s="79"/>
      <c r="E171" s="79"/>
      <c r="F171" s="2"/>
      <c r="G171" s="80"/>
      <c r="H171" s="80"/>
      <c r="I171" s="81"/>
      <c r="J171" s="81"/>
    </row>
    <row r="172" spans="3:10" ht="15.75">
      <c r="C172" s="2"/>
      <c r="D172" s="79"/>
      <c r="E172" s="79"/>
      <c r="F172" s="2"/>
      <c r="G172" s="80"/>
      <c r="H172" s="80"/>
      <c r="I172" s="81"/>
      <c r="J172" s="81"/>
    </row>
    <row r="173" spans="3:10" ht="15.75">
      <c r="C173" s="2"/>
      <c r="D173" s="79"/>
      <c r="E173" s="79"/>
      <c r="F173" s="2"/>
      <c r="G173" s="80"/>
      <c r="H173" s="80"/>
      <c r="I173" s="81"/>
      <c r="J173" s="81"/>
    </row>
    <row r="174" spans="3:10" ht="15.75">
      <c r="C174" s="2"/>
      <c r="D174" s="79"/>
      <c r="E174" s="79"/>
      <c r="F174" s="2"/>
      <c r="G174" s="80"/>
      <c r="H174" s="80"/>
      <c r="I174" s="81"/>
      <c r="J174" s="81"/>
    </row>
    <row r="175" spans="3:10" ht="15.75">
      <c r="C175" s="2"/>
      <c r="D175" s="79"/>
      <c r="E175" s="79"/>
      <c r="F175" s="2"/>
      <c r="G175" s="80"/>
      <c r="H175" s="80"/>
      <c r="I175" s="81"/>
      <c r="J175" s="81"/>
    </row>
    <row r="176" spans="3:10" ht="15.75">
      <c r="C176" s="2"/>
      <c r="D176" s="79"/>
      <c r="E176" s="79"/>
      <c r="F176" s="2"/>
      <c r="G176" s="80"/>
      <c r="H176" s="80"/>
      <c r="I176" s="81"/>
      <c r="J176" s="81"/>
    </row>
    <row r="177" spans="3:10" ht="15.75">
      <c r="C177" s="2"/>
      <c r="D177" s="79"/>
      <c r="E177" s="79"/>
      <c r="F177" s="2"/>
      <c r="G177" s="80"/>
      <c r="H177" s="80"/>
      <c r="I177" s="81"/>
      <c r="J177" s="81"/>
    </row>
    <row r="178" spans="3:10" ht="15.75">
      <c r="C178" s="2"/>
      <c r="D178" s="79"/>
      <c r="E178" s="79"/>
      <c r="F178" s="2"/>
      <c r="G178" s="80"/>
      <c r="H178" s="80"/>
      <c r="I178" s="81"/>
      <c r="J178" s="81"/>
    </row>
    <row r="179" spans="3:10" ht="15.75">
      <c r="C179" s="2"/>
      <c r="D179" s="79"/>
      <c r="E179" s="79"/>
      <c r="F179" s="2"/>
      <c r="G179" s="80"/>
      <c r="H179" s="80"/>
      <c r="I179" s="81"/>
      <c r="J179" s="81"/>
    </row>
    <row r="180" spans="3:10" ht="15.75">
      <c r="C180" s="2"/>
      <c r="D180" s="79"/>
      <c r="E180" s="79"/>
      <c r="F180" s="2"/>
      <c r="G180" s="80"/>
      <c r="H180" s="80"/>
      <c r="I180" s="81"/>
      <c r="J180" s="81"/>
    </row>
    <row r="181" spans="3:10" ht="15.75">
      <c r="C181" s="2"/>
      <c r="D181" s="79"/>
      <c r="E181" s="79"/>
      <c r="F181" s="2"/>
      <c r="G181" s="80"/>
      <c r="H181" s="80"/>
      <c r="I181" s="81"/>
      <c r="J181" s="81"/>
    </row>
    <row r="182" spans="3:10" ht="15.75">
      <c r="C182" s="2"/>
      <c r="D182" s="79"/>
      <c r="E182" s="79"/>
      <c r="F182" s="2"/>
      <c r="G182" s="80"/>
      <c r="H182" s="80"/>
      <c r="I182" s="81"/>
      <c r="J182" s="81"/>
    </row>
    <row r="183" spans="3:10" ht="15.75">
      <c r="C183" s="2"/>
      <c r="D183" s="79"/>
      <c r="E183" s="79"/>
      <c r="F183" s="2"/>
      <c r="G183" s="80"/>
      <c r="H183" s="80"/>
      <c r="I183" s="81"/>
      <c r="J183" s="81"/>
    </row>
    <row r="184" spans="3:10" ht="15.75">
      <c r="C184" s="2"/>
      <c r="D184" s="79"/>
      <c r="E184" s="79"/>
      <c r="F184" s="2"/>
      <c r="G184" s="80"/>
      <c r="H184" s="80"/>
      <c r="I184" s="81"/>
      <c r="J184" s="81"/>
    </row>
    <row r="185" spans="3:10" ht="15.75">
      <c r="C185" s="2"/>
      <c r="D185" s="79"/>
      <c r="E185" s="79"/>
      <c r="F185" s="2"/>
      <c r="G185" s="80"/>
      <c r="H185" s="80"/>
      <c r="I185" s="81"/>
      <c r="J185" s="81"/>
    </row>
    <row r="186" spans="3:10" ht="15.75">
      <c r="C186" s="2"/>
      <c r="D186" s="79"/>
      <c r="E186" s="79"/>
      <c r="F186" s="2"/>
      <c r="G186" s="80"/>
      <c r="H186" s="80"/>
      <c r="I186" s="81"/>
      <c r="J186" s="81"/>
    </row>
    <row r="187" spans="3:10" ht="15.75">
      <c r="C187" s="2"/>
      <c r="D187" s="79"/>
      <c r="E187" s="79"/>
      <c r="F187" s="2"/>
      <c r="G187" s="80"/>
      <c r="H187" s="80"/>
      <c r="I187" s="81"/>
      <c r="J187" s="81"/>
    </row>
    <row r="188" spans="3:10" ht="15.75">
      <c r="C188" s="2"/>
      <c r="D188" s="79"/>
      <c r="E188" s="79"/>
      <c r="F188" s="2"/>
      <c r="G188" s="80"/>
      <c r="H188" s="80"/>
      <c r="I188" s="81"/>
      <c r="J188" s="81"/>
    </row>
    <row r="189" spans="3:10" ht="15.75">
      <c r="C189" s="2"/>
      <c r="D189" s="79"/>
      <c r="E189" s="79"/>
      <c r="F189" s="2"/>
      <c r="G189" s="80"/>
      <c r="H189" s="80"/>
      <c r="I189" s="81"/>
      <c r="J189" s="81"/>
    </row>
    <row r="190" spans="3:10" ht="15.75">
      <c r="C190" s="2"/>
      <c r="D190" s="79"/>
      <c r="E190" s="79"/>
      <c r="F190" s="2"/>
      <c r="G190" s="80"/>
      <c r="H190" s="80"/>
      <c r="I190" s="81"/>
      <c r="J190" s="81"/>
    </row>
    <row r="191" spans="3:10" ht="15.75">
      <c r="C191" s="2"/>
      <c r="D191" s="79"/>
      <c r="E191" s="79"/>
      <c r="F191" s="82"/>
      <c r="G191" s="80"/>
      <c r="H191" s="80"/>
      <c r="I191" s="81"/>
      <c r="J191" s="81"/>
    </row>
    <row r="192" spans="3:10" ht="15.75">
      <c r="C192" s="2"/>
      <c r="D192" s="79"/>
      <c r="E192" s="79"/>
      <c r="F192" s="2"/>
      <c r="G192" s="80"/>
      <c r="H192" s="80"/>
      <c r="I192" s="81"/>
      <c r="J192" s="81"/>
    </row>
    <row r="193" spans="3:10" ht="15.75">
      <c r="C193" s="2"/>
      <c r="D193" s="79"/>
      <c r="E193" s="79"/>
      <c r="F193" s="2"/>
      <c r="G193" s="80"/>
      <c r="H193" s="80"/>
      <c r="I193" s="81"/>
      <c r="J193" s="81"/>
    </row>
    <row r="194" spans="3:10" ht="15.75">
      <c r="C194" s="2"/>
      <c r="D194" s="79"/>
      <c r="E194" s="79"/>
      <c r="F194" s="2"/>
      <c r="G194" s="80"/>
      <c r="H194" s="80"/>
      <c r="I194" s="81"/>
      <c r="J194" s="81"/>
    </row>
    <row r="195" spans="3:10" ht="15.75">
      <c r="C195" s="2"/>
      <c r="D195" s="79"/>
      <c r="E195" s="79"/>
      <c r="F195" s="2"/>
      <c r="G195" s="80"/>
      <c r="H195" s="80"/>
      <c r="I195" s="81"/>
      <c r="J195" s="81"/>
    </row>
    <row r="196" spans="3:10" ht="15.75">
      <c r="C196" s="2"/>
      <c r="D196" s="79"/>
      <c r="E196" s="79"/>
      <c r="F196" s="2"/>
      <c r="G196" s="80"/>
      <c r="H196" s="80"/>
      <c r="I196" s="81"/>
      <c r="J196" s="81"/>
    </row>
    <row r="197" spans="3:10" ht="15.75">
      <c r="C197" s="2"/>
      <c r="D197" s="79"/>
      <c r="E197" s="79"/>
      <c r="F197" s="2"/>
      <c r="G197" s="80"/>
      <c r="H197" s="80"/>
      <c r="I197" s="81"/>
      <c r="J197" s="81"/>
    </row>
    <row r="205" ht="15.75">
      <c r="F205" s="83"/>
    </row>
    <row r="214" ht="15.75">
      <c r="F214" s="83"/>
    </row>
    <row r="220" ht="15.75">
      <c r="F220" s="83"/>
    </row>
    <row r="223" ht="15.75">
      <c r="F223" s="83"/>
    </row>
    <row r="226" ht="15.75">
      <c r="F226" s="84"/>
    </row>
    <row r="234" ht="15.75">
      <c r="F234" s="83"/>
    </row>
    <row r="236" ht="15.75">
      <c r="F236" s="85"/>
    </row>
    <row r="238" ht="15.75">
      <c r="F238" s="86"/>
    </row>
    <row r="239" ht="15.75">
      <c r="F239" s="86"/>
    </row>
    <row r="242" ht="15.75">
      <c r="F242" s="5"/>
    </row>
    <row r="243" ht="15.75">
      <c r="F243" s="87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  <row r="256" ht="15.75">
      <c r="F256" s="6"/>
    </row>
    <row r="257" ht="15.75">
      <c r="F257" s="6"/>
    </row>
    <row r="258" ht="15.75">
      <c r="F258" s="6"/>
    </row>
    <row r="259" ht="15.75">
      <c r="F259" s="6"/>
    </row>
    <row r="260" ht="15.75">
      <c r="F260" s="6"/>
    </row>
    <row r="261" ht="15.75">
      <c r="F261" s="6"/>
    </row>
    <row r="262" ht="15.75">
      <c r="F262" s="6"/>
    </row>
    <row r="263" ht="15.75">
      <c r="F263" s="6"/>
    </row>
    <row r="264" ht="15.75">
      <c r="F264" s="6"/>
    </row>
    <row r="265" ht="15.75">
      <c r="F265" s="6"/>
    </row>
  </sheetData>
  <sheetProtection selectLockedCells="1" selectUnlockedCells="1"/>
  <mergeCells count="19">
    <mergeCell ref="C2:K2"/>
    <mergeCell ref="C1:K1"/>
    <mergeCell ref="C5:H5"/>
    <mergeCell ref="A16:B16"/>
    <mergeCell ref="C16:H16"/>
    <mergeCell ref="A122:B122"/>
    <mergeCell ref="C122:H122"/>
    <mergeCell ref="A57:B57"/>
    <mergeCell ref="A89:B89"/>
    <mergeCell ref="D89:F89"/>
    <mergeCell ref="B154:D154"/>
    <mergeCell ref="A133:B133"/>
    <mergeCell ref="C133:H133"/>
    <mergeCell ref="C54:H54"/>
    <mergeCell ref="A105:B105"/>
    <mergeCell ref="C105:H105"/>
    <mergeCell ref="A112:B112"/>
    <mergeCell ref="C112:H112"/>
    <mergeCell ref="C140:H140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gengineer</cp:lastModifiedBy>
  <cp:lastPrinted>2011-04-27T11:09:39Z</cp:lastPrinted>
  <dcterms:created xsi:type="dcterms:W3CDTF">2010-12-27T12:04:59Z</dcterms:created>
  <dcterms:modified xsi:type="dcterms:W3CDTF">2011-06-09T10:12:54Z</dcterms:modified>
  <cp:category/>
  <cp:version/>
  <cp:contentType/>
  <cp:contentStatus/>
</cp:coreProperties>
</file>